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1.xml" ContentType="application/vnd.openxmlformats-officedocument.drawing+xml"/>
  <Override PartName="/xl/worksheets/sheet13.xml" ContentType="application/vnd.openxmlformats-officedocument.spreadsheetml.worksheet+xml"/>
  <Override PartName="/xl/worksheets/sheet14.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5.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45" windowWidth="17115" windowHeight="10230"/>
  </bookViews>
  <sheets>
    <sheet name="Title" sheetId="14" r:id="rId1"/>
    <sheet name="Instructions" sheetId="13" r:id="rId2"/>
    <sheet name="F1" sheetId="12" r:id="rId3"/>
    <sheet name="F2" sheetId="11" r:id="rId4"/>
    <sheet name="F3" sheetId="10" r:id="rId5"/>
    <sheet name="F4" sheetId="9" r:id="rId6"/>
    <sheet name="F5" sheetId="8" r:id="rId7"/>
    <sheet name="F6" sheetId="7" r:id="rId8"/>
    <sheet name="F7" sheetId="6" r:id="rId9"/>
    <sheet name="F8" sheetId="5" r:id="rId10"/>
    <sheet name="F9" sheetId="4" r:id="rId11"/>
    <sheet name="Cornstalks (10)" sheetId="3" r:id="rId12"/>
    <sheet name="Calculations" sheetId="15" state="hidden" r:id="rId13"/>
    <sheet name="Per Pound" sheetId="2" r:id="rId14"/>
    <sheet name="Whole Herd" sheetId="1" r:id="rId15"/>
    <sheet name="Feed List" sheetId="19" r:id="rId16"/>
  </sheets>
  <definedNames>
    <definedName name="Calc">Calculations!$A$10:$W$19</definedName>
    <definedName name="Costs">Calculations!$A$26:$N$35</definedName>
    <definedName name="perpound" localSheetId="12">Calculations!#REF!</definedName>
    <definedName name="perpound" localSheetId="1">#REF!</definedName>
    <definedName name="perpound" localSheetId="0">#REF!</definedName>
    <definedName name="perpound">#REF!</definedName>
    <definedName name="_xlnm.Print_Area" localSheetId="12">Calculations!$A$23:$N$35</definedName>
    <definedName name="_xlnm.Print_Area" localSheetId="13">'Per Pound'!$C$3:$H$34</definedName>
  </definedNames>
  <calcPr calcId="145621"/>
</workbook>
</file>

<file path=xl/calcChain.xml><?xml version="1.0" encoding="utf-8"?>
<calcChain xmlns="http://schemas.openxmlformats.org/spreadsheetml/2006/main">
  <c r="E3" i="19" l="1"/>
  <c r="E4" i="19"/>
  <c r="E5" i="19"/>
  <c r="E6" i="19"/>
  <c r="E7" i="19"/>
  <c r="E8" i="19"/>
  <c r="E9" i="19"/>
  <c r="E10" i="19"/>
  <c r="E11" i="19"/>
  <c r="E12" i="19"/>
  <c r="E13" i="19"/>
  <c r="E14" i="19"/>
  <c r="E15" i="19"/>
  <c r="E16" i="19"/>
  <c r="E17" i="19"/>
  <c r="E18" i="19"/>
  <c r="E19" i="19"/>
  <c r="E20" i="19"/>
  <c r="E21" i="19"/>
  <c r="E22" i="19"/>
  <c r="E23" i="19"/>
  <c r="E24" i="19"/>
  <c r="E25" i="19"/>
  <c r="E26" i="19"/>
  <c r="E28" i="19"/>
  <c r="E29" i="19"/>
  <c r="E30" i="19"/>
  <c r="E31" i="19"/>
  <c r="E32" i="19"/>
  <c r="E33" i="19"/>
  <c r="E34" i="19"/>
  <c r="E35" i="19"/>
  <c r="E36" i="19"/>
  <c r="E37" i="19"/>
  <c r="E38" i="19"/>
  <c r="E39" i="19"/>
  <c r="E40" i="19"/>
  <c r="E41" i="19"/>
  <c r="E42" i="19"/>
  <c r="E43" i="19"/>
  <c r="E44" i="19"/>
  <c r="E45" i="19"/>
  <c r="E46" i="19"/>
  <c r="E47" i="19"/>
  <c r="E48" i="19"/>
  <c r="E50" i="19"/>
  <c r="E51" i="19"/>
  <c r="E52" i="19"/>
  <c r="E53" i="19"/>
  <c r="E54" i="19"/>
  <c r="E55" i="19"/>
  <c r="E56" i="19"/>
  <c r="E57" i="19"/>
  <c r="E58" i="19"/>
  <c r="E59" i="19"/>
  <c r="E60" i="19"/>
  <c r="E61" i="19"/>
  <c r="E62" i="19"/>
  <c r="E63" i="19"/>
  <c r="E64" i="19"/>
  <c r="E65" i="19"/>
  <c r="E66" i="19"/>
  <c r="E67" i="19"/>
  <c r="E68" i="19"/>
  <c r="E69" i="19"/>
  <c r="E70" i="19"/>
  <c r="E71" i="19"/>
  <c r="E72" i="19"/>
  <c r="E73" i="19"/>
  <c r="E74" i="19"/>
  <c r="E75" i="19"/>
  <c r="E76" i="19"/>
  <c r="E77" i="19"/>
  <c r="E78" i="19"/>
  <c r="E79" i="19"/>
  <c r="E80" i="19"/>
  <c r="E81" i="19"/>
  <c r="E82" i="19"/>
  <c r="E83" i="19"/>
  <c r="E84" i="19"/>
  <c r="E85" i="19"/>
  <c r="E86" i="19"/>
  <c r="E87" i="19"/>
  <c r="E88" i="19"/>
  <c r="E89" i="19"/>
  <c r="E90" i="19"/>
  <c r="E91" i="19"/>
  <c r="E92" i="19"/>
  <c r="E93" i="19"/>
  <c r="E94" i="19"/>
  <c r="E96" i="19"/>
  <c r="E97" i="19"/>
  <c r="E98" i="19"/>
  <c r="E99" i="19"/>
  <c r="E100" i="19"/>
  <c r="E101" i="19"/>
  <c r="E102" i="19"/>
  <c r="E103" i="19"/>
  <c r="E104" i="19"/>
  <c r="E105" i="19"/>
  <c r="E106" i="19"/>
  <c r="E107" i="19"/>
  <c r="E108" i="19"/>
  <c r="E109" i="19"/>
  <c r="E110" i="19"/>
  <c r="E111" i="19"/>
  <c r="E112" i="19"/>
  <c r="E113" i="19"/>
  <c r="E114" i="19"/>
  <c r="E115" i="19"/>
  <c r="E116" i="19"/>
  <c r="E117" i="19"/>
  <c r="E118" i="19"/>
  <c r="E119" i="19"/>
  <c r="E120" i="19"/>
  <c r="E121" i="19"/>
  <c r="E122" i="19"/>
  <c r="E123" i="19"/>
  <c r="E124" i="19"/>
  <c r="E125" i="19"/>
  <c r="E126" i="19"/>
  <c r="E127" i="19"/>
  <c r="E128" i="19"/>
  <c r="E129" i="19"/>
  <c r="E130" i="19"/>
  <c r="E131" i="19"/>
  <c r="E132" i="19"/>
  <c r="E133" i="19"/>
  <c r="E134" i="19"/>
  <c r="E135" i="19"/>
  <c r="E136" i="19"/>
  <c r="E137" i="19"/>
  <c r="E138" i="19"/>
  <c r="E139" i="19"/>
  <c r="E140" i="19"/>
  <c r="E141" i="19"/>
  <c r="E142" i="19"/>
  <c r="E143" i="19"/>
  <c r="E144" i="19"/>
  <c r="E145" i="19"/>
  <c r="E146" i="19"/>
  <c r="E147" i="19"/>
  <c r="E148" i="19"/>
  <c r="E149" i="19"/>
  <c r="E150" i="19"/>
  <c r="E151" i="19"/>
  <c r="E152" i="19"/>
  <c r="E153" i="19"/>
  <c r="E155" i="19"/>
  <c r="E156" i="19"/>
  <c r="E157" i="19"/>
  <c r="E158" i="19"/>
  <c r="E159" i="19"/>
  <c r="E160" i="19"/>
  <c r="E161" i="19"/>
  <c r="E162" i="19"/>
  <c r="E163" i="19"/>
  <c r="E164" i="19"/>
  <c r="E165" i="19"/>
  <c r="E166" i="19"/>
  <c r="E167" i="19"/>
  <c r="E168" i="19"/>
  <c r="E169" i="19"/>
  <c r="E170" i="19"/>
  <c r="E171" i="19"/>
  <c r="E172" i="19"/>
  <c r="E173" i="19"/>
  <c r="E174" i="19"/>
  <c r="E175" i="19"/>
  <c r="E176" i="19"/>
  <c r="E177" i="19"/>
  <c r="E178" i="19"/>
  <c r="E179" i="19"/>
  <c r="E180" i="19"/>
  <c r="E182" i="19"/>
  <c r="E183" i="19"/>
  <c r="E184" i="19"/>
  <c r="E185" i="19"/>
  <c r="E186" i="19"/>
  <c r="E188" i="19"/>
  <c r="E189" i="19"/>
  <c r="E190" i="19"/>
  <c r="E191" i="19"/>
  <c r="E192" i="19"/>
  <c r="E193" i="19"/>
  <c r="E195" i="19"/>
  <c r="E196" i="19"/>
  <c r="E197" i="19"/>
  <c r="E198" i="19"/>
  <c r="E199" i="19"/>
  <c r="E200" i="19"/>
  <c r="E201" i="19"/>
  <c r="E202" i="19"/>
  <c r="E204" i="19"/>
  <c r="E205" i="19"/>
  <c r="E206" i="19"/>
  <c r="E207" i="19"/>
  <c r="E209" i="19"/>
  <c r="E215" i="19"/>
  <c r="E218" i="19"/>
  <c r="E221" i="19"/>
  <c r="E34" i="11" l="1"/>
  <c r="E34" i="10"/>
  <c r="E34" i="9"/>
  <c r="E34" i="6"/>
  <c r="E34" i="12"/>
  <c r="L30" i="11"/>
  <c r="L30" i="10"/>
  <c r="L30" i="9"/>
  <c r="L30" i="4"/>
  <c r="L30" i="12"/>
  <c r="L32" i="11"/>
  <c r="L32" i="10"/>
  <c r="L32" i="9"/>
  <c r="L32" i="12"/>
  <c r="L34" i="11"/>
  <c r="L34" i="10"/>
  <c r="L34" i="9"/>
  <c r="L34" i="8"/>
  <c r="L32" i="8" s="1"/>
  <c r="L34" i="7"/>
  <c r="E34" i="7" s="1"/>
  <c r="L34" i="6"/>
  <c r="L32" i="6" s="1"/>
  <c r="L34" i="5"/>
  <c r="L32" i="5" s="1"/>
  <c r="L34" i="4"/>
  <c r="L32" i="4" s="1"/>
  <c r="L34" i="12"/>
  <c r="E34" i="4" l="1"/>
  <c r="L30" i="5"/>
  <c r="E34" i="5"/>
  <c r="L30" i="6"/>
  <c r="L32" i="7"/>
  <c r="L30" i="7"/>
  <c r="L30" i="8"/>
  <c r="E34" i="8"/>
  <c r="F39" i="3"/>
  <c r="E39" i="3"/>
  <c r="J3" i="3" l="1"/>
  <c r="P8" i="3" s="1"/>
  <c r="J5" i="3" l="1"/>
  <c r="M32" i="15"/>
  <c r="L34" i="15"/>
  <c r="L25" i="11"/>
  <c r="K27" i="15" s="1"/>
  <c r="F28" i="2" s="1"/>
  <c r="L25" i="10"/>
  <c r="K28" i="15" s="1"/>
  <c r="G28" i="2" s="1"/>
  <c r="L25" i="9"/>
  <c r="K29" i="15" s="1"/>
  <c r="H28" i="2" s="1"/>
  <c r="L25" i="8"/>
  <c r="K30" i="15" s="1"/>
  <c r="L25" i="7"/>
  <c r="K31" i="15" s="1"/>
  <c r="L25" i="6"/>
  <c r="K32" i="15" s="1"/>
  <c r="L25" i="5"/>
  <c r="K33" i="15" s="1"/>
  <c r="L25" i="4"/>
  <c r="L21" i="4" s="1"/>
  <c r="I34" i="15" s="1"/>
  <c r="L25" i="12"/>
  <c r="L23" i="12" s="1"/>
  <c r="J26" i="15" s="1"/>
  <c r="E27" i="2" s="1"/>
  <c r="L14" i="9"/>
  <c r="G29" i="15" s="1"/>
  <c r="H21" i="2" s="1"/>
  <c r="L14" i="8"/>
  <c r="G30" i="15" s="1"/>
  <c r="L16" i="11"/>
  <c r="L14" i="11" s="1"/>
  <c r="G27" i="15" s="1"/>
  <c r="F21" i="2" s="1"/>
  <c r="L16" i="10"/>
  <c r="H28" i="15" s="1"/>
  <c r="G22" i="2" s="1"/>
  <c r="L16" i="9"/>
  <c r="L12" i="9" s="1"/>
  <c r="F29" i="15" s="1"/>
  <c r="H20" i="2" s="1"/>
  <c r="L16" i="8"/>
  <c r="H30" i="15" s="1"/>
  <c r="L16" i="7"/>
  <c r="H31" i="15" s="1"/>
  <c r="L16" i="6"/>
  <c r="H32" i="15" s="1"/>
  <c r="L16" i="5"/>
  <c r="H33" i="15" s="1"/>
  <c r="L16" i="4"/>
  <c r="H34" i="15" s="1"/>
  <c r="L16" i="12"/>
  <c r="H26" i="15" s="1"/>
  <c r="E22" i="2" s="1"/>
  <c r="L7" i="11"/>
  <c r="E27" i="15" s="1"/>
  <c r="F13" i="2" s="1"/>
  <c r="L7" i="10"/>
  <c r="L5" i="10" s="1"/>
  <c r="D28" i="15" s="1"/>
  <c r="G12" i="2" s="1"/>
  <c r="L7" i="9"/>
  <c r="L3" i="9" s="1"/>
  <c r="C29" i="15" s="1"/>
  <c r="H11" i="2" s="1"/>
  <c r="L7" i="8"/>
  <c r="E30" i="15" s="1"/>
  <c r="L7" i="7"/>
  <c r="E31" i="15" s="1"/>
  <c r="L7" i="6"/>
  <c r="E32" i="15" s="1"/>
  <c r="L7" i="5"/>
  <c r="E33" i="15" s="1"/>
  <c r="L7" i="4"/>
  <c r="E34" i="15" s="1"/>
  <c r="L7" i="12"/>
  <c r="E26" i="15" s="1"/>
  <c r="E13" i="2" s="1"/>
  <c r="L5" i="6"/>
  <c r="D32" i="15" s="1"/>
  <c r="L3" i="6"/>
  <c r="C32" i="15" s="1"/>
  <c r="V35" i="3"/>
  <c r="J24" i="3"/>
  <c r="J25" i="3"/>
  <c r="B35" i="15"/>
  <c r="B34" i="15"/>
  <c r="B33" i="15"/>
  <c r="B32" i="15"/>
  <c r="B31" i="15"/>
  <c r="B30" i="15"/>
  <c r="B29" i="15"/>
  <c r="B28" i="15"/>
  <c r="B27" i="15"/>
  <c r="B26" i="15"/>
  <c r="M11" i="15"/>
  <c r="F16" i="2"/>
  <c r="K11" i="15"/>
  <c r="F14" i="2"/>
  <c r="L11" i="15"/>
  <c r="F15" i="2" s="1"/>
  <c r="M12" i="15"/>
  <c r="G16" i="2"/>
  <c r="K12" i="15"/>
  <c r="N12" i="15" s="1"/>
  <c r="L12" i="15"/>
  <c r="K13" i="1" s="1"/>
  <c r="G15" i="2"/>
  <c r="M13" i="15"/>
  <c r="H16" i="2"/>
  <c r="K13" i="15"/>
  <c r="N13" i="15" s="1"/>
  <c r="H14" i="2"/>
  <c r="L13" i="15"/>
  <c r="H15" i="2"/>
  <c r="M10" i="15"/>
  <c r="E16" i="2" s="1"/>
  <c r="K10" i="15"/>
  <c r="E14" i="2"/>
  <c r="L10" i="15"/>
  <c r="E15" i="2" s="1"/>
  <c r="I2" i="1"/>
  <c r="I20" i="1" s="1"/>
  <c r="U10" i="15"/>
  <c r="J2" i="1"/>
  <c r="J20" i="1" s="1"/>
  <c r="U11" i="15"/>
  <c r="J26" i="1"/>
  <c r="K2" i="1"/>
  <c r="K19" i="1" s="1"/>
  <c r="U12" i="15"/>
  <c r="G30" i="2" s="1"/>
  <c r="K26" i="1"/>
  <c r="T10" i="15"/>
  <c r="T11" i="15"/>
  <c r="J25" i="1"/>
  <c r="T12" i="15"/>
  <c r="K25" i="1" s="1"/>
  <c r="R10" i="15"/>
  <c r="R11" i="15"/>
  <c r="R12" i="15"/>
  <c r="K20" i="1"/>
  <c r="Q10" i="15"/>
  <c r="Q11" i="15"/>
  <c r="J19" i="1"/>
  <c r="Q12" i="15"/>
  <c r="B10" i="15"/>
  <c r="B11" i="15"/>
  <c r="J3" i="1" s="1"/>
  <c r="B12" i="15"/>
  <c r="G5" i="2" s="1"/>
  <c r="K3" i="1"/>
  <c r="J12" i="1"/>
  <c r="O10" i="15"/>
  <c r="E18" i="2" s="1"/>
  <c r="E19" i="2" s="1"/>
  <c r="O11" i="15"/>
  <c r="P11" i="15" s="1"/>
  <c r="S11" i="15" s="1"/>
  <c r="V11" i="15" s="1"/>
  <c r="J15" i="1"/>
  <c r="O12" i="15"/>
  <c r="D10" i="15"/>
  <c r="E7" i="2" s="1"/>
  <c r="C10" i="15"/>
  <c r="D11" i="15"/>
  <c r="F7" i="2" s="1"/>
  <c r="C11" i="15"/>
  <c r="J5" i="1"/>
  <c r="D12" i="15"/>
  <c r="K7" i="1" s="1"/>
  <c r="D20" i="1" s="1"/>
  <c r="C12" i="15"/>
  <c r="G6" i="2" s="1"/>
  <c r="K5" i="1"/>
  <c r="L2" i="1"/>
  <c r="L12" i="1" s="1"/>
  <c r="D13" i="15"/>
  <c r="H7" i="2" s="1"/>
  <c r="U13" i="15"/>
  <c r="R13" i="15"/>
  <c r="H24" i="2" s="1"/>
  <c r="O13" i="15"/>
  <c r="C13" i="15"/>
  <c r="H6" i="2" s="1"/>
  <c r="E10" i="15"/>
  <c r="E11" i="15"/>
  <c r="E12" i="15"/>
  <c r="T13" i="15"/>
  <c r="H29" i="2" s="1"/>
  <c r="Q13" i="15"/>
  <c r="E13" i="15"/>
  <c r="B13" i="15"/>
  <c r="R42" i="3"/>
  <c r="R41" i="3"/>
  <c r="R40" i="3"/>
  <c r="J31" i="3"/>
  <c r="J32" i="3" s="1"/>
  <c r="G19" i="15"/>
  <c r="F19" i="15"/>
  <c r="D19" i="15"/>
  <c r="C19" i="15"/>
  <c r="F20" i="12"/>
  <c r="W10" i="15" s="1"/>
  <c r="E6" i="1" s="1"/>
  <c r="F20" i="9"/>
  <c r="W13" i="15" s="1"/>
  <c r="E27" i="1" s="1"/>
  <c r="F20" i="10"/>
  <c r="W12" i="15" s="1"/>
  <c r="E20" i="1" s="1"/>
  <c r="F20" i="11"/>
  <c r="C20" i="11" s="1"/>
  <c r="U18" i="15"/>
  <c r="U17" i="15"/>
  <c r="U16" i="15"/>
  <c r="U15" i="15"/>
  <c r="U14" i="15"/>
  <c r="T18" i="15"/>
  <c r="T17" i="15"/>
  <c r="T16" i="15"/>
  <c r="T15" i="15"/>
  <c r="T14" i="15"/>
  <c r="R18" i="15"/>
  <c r="R17" i="15"/>
  <c r="R16" i="15"/>
  <c r="R15" i="15"/>
  <c r="R14" i="15"/>
  <c r="Q18" i="15"/>
  <c r="Q17" i="15"/>
  <c r="Q16" i="15"/>
  <c r="Q15" i="15"/>
  <c r="Q14" i="15"/>
  <c r="O18" i="15"/>
  <c r="P18" i="15" s="1"/>
  <c r="O17" i="15"/>
  <c r="P17" i="15" s="1"/>
  <c r="S17" i="15" s="1"/>
  <c r="V17" i="15" s="1"/>
  <c r="O16" i="15"/>
  <c r="P16" i="15" s="1"/>
  <c r="S16" i="15" s="1"/>
  <c r="O15" i="15"/>
  <c r="P15" i="15" s="1"/>
  <c r="O14" i="15"/>
  <c r="P14" i="15" s="1"/>
  <c r="S14" i="15" s="1"/>
  <c r="M18" i="15"/>
  <c r="N18" i="15" s="1"/>
  <c r="M17" i="15"/>
  <c r="N17" i="15" s="1"/>
  <c r="M16" i="15"/>
  <c r="M15" i="15"/>
  <c r="M14" i="15"/>
  <c r="L18" i="15"/>
  <c r="L17" i="15"/>
  <c r="L16" i="15"/>
  <c r="L15" i="15"/>
  <c r="L14" i="15"/>
  <c r="G11" i="15"/>
  <c r="K18" i="15"/>
  <c r="K17" i="15"/>
  <c r="K16" i="15"/>
  <c r="K15" i="15"/>
  <c r="K14" i="15"/>
  <c r="G10" i="15"/>
  <c r="G18" i="15"/>
  <c r="G17" i="15"/>
  <c r="G16" i="15"/>
  <c r="G15" i="15"/>
  <c r="G14" i="15"/>
  <c r="G13" i="15"/>
  <c r="G12" i="15"/>
  <c r="G10" i="2" s="1"/>
  <c r="F10" i="15"/>
  <c r="F18" i="15"/>
  <c r="F17" i="15"/>
  <c r="F16" i="15"/>
  <c r="F15" i="15"/>
  <c r="F14" i="15"/>
  <c r="F13" i="15"/>
  <c r="F12" i="15"/>
  <c r="G9" i="2" s="1"/>
  <c r="F11" i="15"/>
  <c r="F9" i="2" s="1"/>
  <c r="E17" i="15"/>
  <c r="E15" i="15"/>
  <c r="E18" i="15"/>
  <c r="E16" i="15"/>
  <c r="E14" i="15"/>
  <c r="D18" i="15"/>
  <c r="D17" i="15"/>
  <c r="D16" i="15"/>
  <c r="D15" i="15"/>
  <c r="H15" i="15" s="1"/>
  <c r="D14" i="15"/>
  <c r="C18" i="15"/>
  <c r="C17" i="15"/>
  <c r="C16" i="15"/>
  <c r="C15" i="15"/>
  <c r="C14" i="15"/>
  <c r="B19" i="15"/>
  <c r="B18" i="15"/>
  <c r="B17" i="15"/>
  <c r="B16" i="15"/>
  <c r="B15" i="15"/>
  <c r="B14" i="15"/>
  <c r="P12" i="15"/>
  <c r="S12" i="15" s="1"/>
  <c r="V12" i="15" s="1"/>
  <c r="N14" i="15"/>
  <c r="N15" i="15"/>
  <c r="N16" i="15"/>
  <c r="J15" i="3"/>
  <c r="J11" i="3"/>
  <c r="J14" i="3"/>
  <c r="F6" i="2"/>
  <c r="F18" i="2"/>
  <c r="F19" i="2" s="1"/>
  <c r="F23" i="2"/>
  <c r="F24" i="2"/>
  <c r="F29" i="2"/>
  <c r="F30" i="2"/>
  <c r="G18" i="2"/>
  <c r="G19" i="2" s="1"/>
  <c r="G23" i="2"/>
  <c r="G24" i="2"/>
  <c r="G8" i="2"/>
  <c r="H23" i="2"/>
  <c r="H8" i="2"/>
  <c r="H9" i="2"/>
  <c r="H30" i="2"/>
  <c r="F10" i="2"/>
  <c r="H10" i="2"/>
  <c r="E6" i="2"/>
  <c r="E23" i="2"/>
  <c r="E24" i="2"/>
  <c r="E29" i="2"/>
  <c r="E8" i="2"/>
  <c r="E30" i="2"/>
  <c r="E10" i="2"/>
  <c r="F20" i="4"/>
  <c r="C20" i="4" s="1"/>
  <c r="F20" i="5"/>
  <c r="C20" i="5" s="1"/>
  <c r="F20" i="6"/>
  <c r="F28" i="6" s="1"/>
  <c r="F20" i="7"/>
  <c r="C20" i="7" s="1"/>
  <c r="F20" i="8"/>
  <c r="F24" i="8" s="1"/>
  <c r="H5" i="2"/>
  <c r="E5" i="2"/>
  <c r="AH6" i="4"/>
  <c r="AI6" i="4"/>
  <c r="AJ6" i="4"/>
  <c r="AK6" i="4"/>
  <c r="AL6" i="4"/>
  <c r="AM6" i="4"/>
  <c r="AQ6" i="4"/>
  <c r="AR6" i="4"/>
  <c r="AS6" i="4"/>
  <c r="AU6" i="4"/>
  <c r="AW6" i="4"/>
  <c r="AX6" i="4"/>
  <c r="AZ6" i="4"/>
  <c r="BA6" i="4"/>
  <c r="AH6" i="5"/>
  <c r="AI6" i="5"/>
  <c r="AJ6" i="5"/>
  <c r="AK6" i="5"/>
  <c r="AL6" i="5"/>
  <c r="AM6" i="5"/>
  <c r="AQ6" i="5"/>
  <c r="AR6" i="5"/>
  <c r="AS6" i="5"/>
  <c r="AU6" i="5"/>
  <c r="AW6" i="5"/>
  <c r="AX6" i="5"/>
  <c r="AZ6" i="5"/>
  <c r="BA6" i="5"/>
  <c r="AH6" i="6"/>
  <c r="AI6" i="6"/>
  <c r="AJ6" i="6"/>
  <c r="AK6" i="6"/>
  <c r="AL6" i="6"/>
  <c r="AM6" i="6"/>
  <c r="AQ6" i="6"/>
  <c r="AR6" i="6"/>
  <c r="AS6" i="6"/>
  <c r="AU6" i="6"/>
  <c r="AW6" i="6"/>
  <c r="AX6" i="6"/>
  <c r="AZ6" i="6"/>
  <c r="BA6" i="6"/>
  <c r="AH6" i="7"/>
  <c r="AI6" i="7"/>
  <c r="AJ6" i="7"/>
  <c r="AK6" i="7"/>
  <c r="AL6" i="7"/>
  <c r="AM6" i="7"/>
  <c r="AQ6" i="7"/>
  <c r="AR6" i="7"/>
  <c r="AS6" i="7"/>
  <c r="AU6" i="7"/>
  <c r="AW6" i="7"/>
  <c r="AX6" i="7"/>
  <c r="AZ6" i="7"/>
  <c r="BA6" i="7"/>
  <c r="AH6" i="8"/>
  <c r="AI6" i="8"/>
  <c r="AJ6" i="8"/>
  <c r="AK6" i="8"/>
  <c r="AL6" i="8"/>
  <c r="AM6" i="8"/>
  <c r="AQ6" i="8"/>
  <c r="AR6" i="8"/>
  <c r="AS6" i="8"/>
  <c r="AU6" i="8"/>
  <c r="AW6" i="8"/>
  <c r="AX6" i="8"/>
  <c r="AZ6" i="8"/>
  <c r="BA6" i="8"/>
  <c r="AH6" i="9"/>
  <c r="AI6" i="9"/>
  <c r="AJ6" i="9"/>
  <c r="AK6" i="9"/>
  <c r="AL6" i="9"/>
  <c r="AM6" i="9"/>
  <c r="AQ6" i="9"/>
  <c r="AR6" i="9"/>
  <c r="AS6" i="9"/>
  <c r="AU6" i="9"/>
  <c r="AW6" i="9"/>
  <c r="AX6" i="9"/>
  <c r="AZ6" i="9"/>
  <c r="BA6" i="9"/>
  <c r="AH6" i="10"/>
  <c r="AI6" i="10"/>
  <c r="AJ6" i="10"/>
  <c r="AK6" i="10"/>
  <c r="AL6" i="10"/>
  <c r="AM6" i="10"/>
  <c r="AQ6" i="10"/>
  <c r="AR6" i="10"/>
  <c r="AS6" i="10"/>
  <c r="AU6" i="10"/>
  <c r="AW6" i="10"/>
  <c r="AX6" i="10"/>
  <c r="AZ6" i="10"/>
  <c r="BA6" i="10"/>
  <c r="AH6" i="11"/>
  <c r="AI6" i="11"/>
  <c r="AJ6" i="11"/>
  <c r="AK6" i="11"/>
  <c r="AL6" i="11"/>
  <c r="AM6" i="11"/>
  <c r="AQ6" i="11"/>
  <c r="AR6" i="11"/>
  <c r="AS6" i="11"/>
  <c r="AU6" i="11"/>
  <c r="AW6" i="11"/>
  <c r="AX6" i="11"/>
  <c r="AZ6" i="11"/>
  <c r="BA6" i="11"/>
  <c r="AH6" i="12"/>
  <c r="AU6" i="12"/>
  <c r="AX6" i="12"/>
  <c r="BA6" i="12"/>
  <c r="AZ6" i="12"/>
  <c r="AW6" i="12"/>
  <c r="AS6" i="12"/>
  <c r="AQ6" i="12"/>
  <c r="AR6" i="12"/>
  <c r="AK6" i="12"/>
  <c r="AI6" i="12"/>
  <c r="AJ6" i="12"/>
  <c r="AM6" i="12"/>
  <c r="AL6" i="12"/>
  <c r="L3" i="5" l="1"/>
  <c r="C33" i="15" s="1"/>
  <c r="L5" i="5"/>
  <c r="D33" i="15" s="1"/>
  <c r="S18" i="15"/>
  <c r="V18" i="15" s="1"/>
  <c r="L23" i="4"/>
  <c r="J34" i="15" s="1"/>
  <c r="K34" i="15"/>
  <c r="L23" i="5"/>
  <c r="J33" i="15" s="1"/>
  <c r="H17" i="15"/>
  <c r="V16" i="15"/>
  <c r="H16" i="15"/>
  <c r="L23" i="6"/>
  <c r="J32" i="15" s="1"/>
  <c r="L14" i="6"/>
  <c r="G32" i="15" s="1"/>
  <c r="S15" i="15"/>
  <c r="V15" i="15" s="1"/>
  <c r="L14" i="7"/>
  <c r="G31" i="15" s="1"/>
  <c r="V14" i="15"/>
  <c r="H14" i="15"/>
  <c r="L3" i="7"/>
  <c r="C31" i="15" s="1"/>
  <c r="L12" i="4"/>
  <c r="F34" i="15" s="1"/>
  <c r="L31" i="15"/>
  <c r="L5" i="4"/>
  <c r="D34" i="15" s="1"/>
  <c r="L12" i="5"/>
  <c r="F33" i="15" s="1"/>
  <c r="M34" i="15"/>
  <c r="L21" i="7"/>
  <c r="I31" i="15" s="1"/>
  <c r="L32" i="15"/>
  <c r="L23" i="8"/>
  <c r="J30" i="15" s="1"/>
  <c r="L23" i="7"/>
  <c r="J31" i="15" s="1"/>
  <c r="M33" i="15"/>
  <c r="L12" i="7"/>
  <c r="F31" i="15" s="1"/>
  <c r="L5" i="7"/>
  <c r="D31" i="15" s="1"/>
  <c r="L14" i="4"/>
  <c r="G34" i="15" s="1"/>
  <c r="L21" i="5"/>
  <c r="I33" i="15" s="1"/>
  <c r="M31" i="15"/>
  <c r="L33" i="15"/>
  <c r="L12" i="6"/>
  <c r="F32" i="15" s="1"/>
  <c r="L3" i="4"/>
  <c r="C34" i="15" s="1"/>
  <c r="L5" i="8"/>
  <c r="D30" i="15" s="1"/>
  <c r="L14" i="5"/>
  <c r="G33" i="15" s="1"/>
  <c r="L21" i="6"/>
  <c r="I32" i="15" s="1"/>
  <c r="I17" i="15"/>
  <c r="N33" i="15"/>
  <c r="J17" i="15"/>
  <c r="I16" i="15"/>
  <c r="J15" i="15"/>
  <c r="L30" i="15"/>
  <c r="L12" i="8"/>
  <c r="F30" i="15" s="1"/>
  <c r="L3" i="8"/>
  <c r="C30" i="15" s="1"/>
  <c r="L21" i="8"/>
  <c r="I30" i="15" s="1"/>
  <c r="M30" i="15"/>
  <c r="L25" i="1"/>
  <c r="L3" i="1"/>
  <c r="L11" i="1"/>
  <c r="L14" i="1" s="1"/>
  <c r="L5" i="1"/>
  <c r="L13" i="1"/>
  <c r="L6" i="1"/>
  <c r="L19" i="1"/>
  <c r="L5" i="9"/>
  <c r="D29" i="15" s="1"/>
  <c r="H12" i="2" s="1"/>
  <c r="L3" i="11"/>
  <c r="C27" i="15" s="1"/>
  <c r="F11" i="2" s="1"/>
  <c r="N30" i="15"/>
  <c r="W14" i="15"/>
  <c r="N29" i="15"/>
  <c r="H34" i="2" s="1"/>
  <c r="N31" i="15"/>
  <c r="N28" i="15"/>
  <c r="G34" i="2" s="1"/>
  <c r="N26" i="15"/>
  <c r="E34" i="2" s="1"/>
  <c r="L27" i="15"/>
  <c r="F32" i="2" s="1"/>
  <c r="N34" i="15"/>
  <c r="H29" i="15"/>
  <c r="H22" i="2" s="1"/>
  <c r="N32" i="15"/>
  <c r="J26" i="3"/>
  <c r="E35" i="15"/>
  <c r="J13" i="3"/>
  <c r="L21" i="10"/>
  <c r="I28" i="15" s="1"/>
  <c r="G26" i="2" s="1"/>
  <c r="L5" i="11"/>
  <c r="D27" i="15" s="1"/>
  <c r="F12" i="2" s="1"/>
  <c r="L3" i="12"/>
  <c r="C26" i="15" s="1"/>
  <c r="E11" i="2" s="1"/>
  <c r="L5" i="12"/>
  <c r="D26" i="15" s="1"/>
  <c r="E12" i="2" s="1"/>
  <c r="L14" i="10"/>
  <c r="G28" i="15" s="1"/>
  <c r="G21" i="2" s="1"/>
  <c r="L7" i="1"/>
  <c r="D27" i="1" s="1"/>
  <c r="J7" i="1"/>
  <c r="D13" i="1" s="1"/>
  <c r="J27" i="1" s="1"/>
  <c r="H27" i="15"/>
  <c r="F22" i="2" s="1"/>
  <c r="F24" i="10"/>
  <c r="F28" i="9"/>
  <c r="M27" i="15"/>
  <c r="F33" i="2" s="1"/>
  <c r="F24" i="12"/>
  <c r="F24" i="11"/>
  <c r="C20" i="10"/>
  <c r="F24" i="9"/>
  <c r="F24" i="4"/>
  <c r="F28" i="12"/>
  <c r="C20" i="9"/>
  <c r="L23" i="9"/>
  <c r="J29" i="15" s="1"/>
  <c r="H27" i="2" s="1"/>
  <c r="W17" i="15"/>
  <c r="K26" i="15"/>
  <c r="E28" i="2" s="1"/>
  <c r="F24" i="6"/>
  <c r="F28" i="5"/>
  <c r="E25" i="2"/>
  <c r="E31" i="2" s="1"/>
  <c r="W18" i="15"/>
  <c r="C20" i="12"/>
  <c r="F28" i="10"/>
  <c r="C20" i="6"/>
  <c r="F24" i="5"/>
  <c r="F28" i="4"/>
  <c r="I12" i="15"/>
  <c r="H17" i="2"/>
  <c r="N27" i="15"/>
  <c r="F34" i="2" s="1"/>
  <c r="M26" i="15"/>
  <c r="E33" i="2" s="1"/>
  <c r="G7" i="2"/>
  <c r="C20" i="8"/>
  <c r="J19" i="15"/>
  <c r="K27" i="1"/>
  <c r="K21" i="1" s="1"/>
  <c r="K22" i="1" s="1"/>
  <c r="M29" i="15"/>
  <c r="H33" i="2" s="1"/>
  <c r="L29" i="15"/>
  <c r="H32" i="2" s="1"/>
  <c r="L21" i="9"/>
  <c r="I29" i="15" s="1"/>
  <c r="H26" i="2" s="1"/>
  <c r="L3" i="10"/>
  <c r="C28" i="15" s="1"/>
  <c r="G11" i="2" s="1"/>
  <c r="E28" i="15"/>
  <c r="G13" i="2" s="1"/>
  <c r="L23" i="10"/>
  <c r="J28" i="15" s="1"/>
  <c r="G27" i="2" s="1"/>
  <c r="L28" i="15"/>
  <c r="G32" i="2" s="1"/>
  <c r="M28" i="15"/>
  <c r="G33" i="2" s="1"/>
  <c r="L12" i="10"/>
  <c r="F28" i="15" s="1"/>
  <c r="G20" i="2" s="1"/>
  <c r="L21" i="11"/>
  <c r="I27" i="15" s="1"/>
  <c r="F26" i="2" s="1"/>
  <c r="L23" i="11"/>
  <c r="J27" i="15" s="1"/>
  <c r="F27" i="2" s="1"/>
  <c r="L12" i="11"/>
  <c r="F27" i="15" s="1"/>
  <c r="F20" i="2" s="1"/>
  <c r="F25" i="2"/>
  <c r="F31" i="2" s="1"/>
  <c r="L26" i="15"/>
  <c r="E32" i="2" s="1"/>
  <c r="L12" i="12"/>
  <c r="F26" i="15" s="1"/>
  <c r="E20" i="2" s="1"/>
  <c r="L14" i="12"/>
  <c r="G26" i="15" s="1"/>
  <c r="E21" i="2" s="1"/>
  <c r="L21" i="12"/>
  <c r="I26" i="15" s="1"/>
  <c r="E26" i="2" s="1"/>
  <c r="E29" i="15"/>
  <c r="H13" i="2" s="1"/>
  <c r="L15" i="1"/>
  <c r="P13" i="15"/>
  <c r="S13" i="15" s="1"/>
  <c r="V13" i="15" s="1"/>
  <c r="H18" i="2"/>
  <c r="H19" i="2" s="1"/>
  <c r="H25" i="2" s="1"/>
  <c r="H31" i="2" s="1"/>
  <c r="J13" i="1"/>
  <c r="J12" i="15"/>
  <c r="I19" i="15"/>
  <c r="J33" i="3"/>
  <c r="H19" i="15"/>
  <c r="N11" i="15"/>
  <c r="H11" i="15" s="1"/>
  <c r="I11" i="1"/>
  <c r="I12" i="1"/>
  <c r="I7" i="1"/>
  <c r="D6" i="1" s="1"/>
  <c r="I26" i="1"/>
  <c r="I25" i="1"/>
  <c r="I5" i="1"/>
  <c r="I3" i="1"/>
  <c r="I19" i="1"/>
  <c r="I15" i="1"/>
  <c r="I13" i="1"/>
  <c r="I6" i="1"/>
  <c r="I13" i="15"/>
  <c r="E9" i="2"/>
  <c r="G25" i="2"/>
  <c r="G31" i="2" s="1"/>
  <c r="J6" i="1"/>
  <c r="F8" i="2"/>
  <c r="E17" i="2"/>
  <c r="F17" i="2"/>
  <c r="F24" i="7"/>
  <c r="F28" i="7"/>
  <c r="W15" i="15"/>
  <c r="J14" i="15"/>
  <c r="I14" i="15"/>
  <c r="H12" i="15"/>
  <c r="P10" i="15"/>
  <c r="S10" i="15" s="1"/>
  <c r="V10" i="15" s="1"/>
  <c r="F28" i="11"/>
  <c r="F5" i="2"/>
  <c r="G29" i="2"/>
  <c r="H13" i="15"/>
  <c r="N10" i="15"/>
  <c r="H10" i="15" s="1"/>
  <c r="W11" i="15"/>
  <c r="E13" i="1" s="1"/>
  <c r="W16" i="15"/>
  <c r="L20" i="1"/>
  <c r="K12" i="1"/>
  <c r="G14" i="2"/>
  <c r="G17" i="2" s="1"/>
  <c r="F28" i="8"/>
  <c r="J10" i="15"/>
  <c r="K6" i="1"/>
  <c r="L26" i="1"/>
  <c r="K11" i="1"/>
  <c r="J16" i="15"/>
  <c r="K15" i="1"/>
  <c r="J11" i="1"/>
  <c r="J18" i="15" l="1"/>
  <c r="H18" i="15"/>
  <c r="I18" i="15"/>
  <c r="I15" i="15"/>
  <c r="P17" i="3"/>
  <c r="P13" i="3" s="1"/>
  <c r="F35" i="15" s="1"/>
  <c r="J48" i="3"/>
  <c r="J50" i="3" s="1"/>
  <c r="H48" i="3"/>
  <c r="H50" i="3" s="1"/>
  <c r="J46" i="3"/>
  <c r="F46" i="3"/>
  <c r="P4" i="3"/>
  <c r="C35" i="15" s="1"/>
  <c r="H46" i="3"/>
  <c r="P6" i="3"/>
  <c r="D35" i="15" s="1"/>
  <c r="F8" i="3"/>
  <c r="J12" i="3"/>
  <c r="F14" i="3"/>
  <c r="F12" i="3"/>
  <c r="J6" i="3"/>
  <c r="L27" i="1"/>
  <c r="L28" i="1" s="1"/>
  <c r="K28" i="1"/>
  <c r="J14" i="1"/>
  <c r="K8" i="1"/>
  <c r="K9" i="1" s="1"/>
  <c r="I27" i="1"/>
  <c r="I10" i="15"/>
  <c r="J11" i="15"/>
  <c r="K14" i="1"/>
  <c r="I11" i="15"/>
  <c r="J21" i="1"/>
  <c r="J28" i="1"/>
  <c r="I14" i="1"/>
  <c r="J13" i="15"/>
  <c r="D46" i="3" l="1"/>
  <c r="D48" i="3" s="1"/>
  <c r="D50" i="3" s="1"/>
  <c r="F48" i="3"/>
  <c r="F50" i="3" s="1"/>
  <c r="P15" i="3"/>
  <c r="G35" i="15" s="1"/>
  <c r="P26" i="3"/>
  <c r="H35" i="15"/>
  <c r="L21" i="1"/>
  <c r="L8" i="1" s="1"/>
  <c r="I28" i="1"/>
  <c r="I21" i="1"/>
  <c r="J8" i="1"/>
  <c r="J22" i="1"/>
  <c r="K16" i="1"/>
  <c r="K17" i="1" s="1"/>
  <c r="K23" i="1" s="1"/>
  <c r="K29" i="1" s="1"/>
  <c r="P24" i="3" l="1"/>
  <c r="J35" i="15" s="1"/>
  <c r="P35" i="3"/>
  <c r="P22" i="3"/>
  <c r="I35" i="15" s="1"/>
  <c r="K35" i="15"/>
  <c r="L22" i="1"/>
  <c r="J9" i="1"/>
  <c r="J16" i="1"/>
  <c r="I8" i="1"/>
  <c r="I22" i="1"/>
  <c r="L9" i="1"/>
  <c r="L16" i="1"/>
  <c r="P33" i="3" l="1"/>
  <c r="M35" i="15" s="1"/>
  <c r="P31" i="3"/>
  <c r="L35" i="15" s="1"/>
  <c r="N35" i="15"/>
  <c r="L17" i="1"/>
  <c r="L23" i="1" s="1"/>
  <c r="L29" i="1" s="1"/>
  <c r="I9" i="1"/>
  <c r="I16" i="1"/>
  <c r="J17" i="1"/>
  <c r="J23" i="1" s="1"/>
  <c r="J29" i="1" s="1"/>
  <c r="M9" i="1" l="1"/>
  <c r="I17" i="1"/>
  <c r="M17" i="1" l="1"/>
  <c r="I23" i="1"/>
  <c r="M23" i="1" l="1"/>
  <c r="I29" i="1"/>
  <c r="M29" i="1" s="1"/>
</calcChain>
</file>

<file path=xl/comments1.xml><?xml version="1.0" encoding="utf-8"?>
<comments xmlns="http://schemas.openxmlformats.org/spreadsheetml/2006/main">
  <authors>
    <author>Roger Wilson</author>
  </authors>
  <commentList>
    <comment ref="H8" authorId="0">
      <text>
        <r>
          <rPr>
            <b/>
            <sz val="8"/>
            <color indexed="81"/>
            <rFont val="Tahoma"/>
            <family val="2"/>
          </rPr>
          <t xml:space="preserve">Roger Wilson:
</t>
        </r>
        <r>
          <rPr>
            <sz val="8"/>
            <color indexed="81"/>
            <rFont val="Tahoma"/>
            <family val="2"/>
          </rPr>
          <t xml:space="preserve">
</t>
        </r>
        <r>
          <rPr>
            <u/>
            <sz val="8"/>
            <color indexed="81"/>
            <rFont val="Tahoma"/>
            <family val="2"/>
          </rPr>
          <t xml:space="preserve">Units Delivered
</t>
        </r>
        <r>
          <rPr>
            <sz val="8"/>
            <color indexed="81"/>
            <rFont val="Tahoma"/>
            <family val="2"/>
          </rPr>
          <t>(1-Hauling Waste)</t>
        </r>
      </text>
    </comment>
    <comment ref="H9" authorId="0">
      <text>
        <r>
          <rPr>
            <b/>
            <sz val="8"/>
            <color indexed="81"/>
            <rFont val="Tahoma"/>
            <family val="2"/>
          </rPr>
          <t>Roger Wilson:</t>
        </r>
        <r>
          <rPr>
            <sz val="8"/>
            <color indexed="81"/>
            <rFont val="Tahoma"/>
            <family val="2"/>
          </rPr>
          <t xml:space="preserve">
Price x Units Consumed</t>
        </r>
      </text>
    </comment>
    <comment ref="H14" authorId="0">
      <text>
        <r>
          <rPr>
            <b/>
            <sz val="8"/>
            <color indexed="81"/>
            <rFont val="Tahoma"/>
            <family val="2"/>
          </rPr>
          <t>Roger Wilson:</t>
        </r>
        <r>
          <rPr>
            <sz val="8"/>
            <color indexed="81"/>
            <rFont val="Tahoma"/>
            <family val="2"/>
          </rPr>
          <t xml:space="preserve">
</t>
        </r>
        <r>
          <rPr>
            <u/>
            <sz val="8"/>
            <color indexed="81"/>
            <rFont val="Tahoma"/>
            <family val="2"/>
          </rPr>
          <t xml:space="preserve">Cost per Mile X Miles
</t>
        </r>
        <r>
          <rPr>
            <sz val="8"/>
            <color indexed="81"/>
            <rFont val="Tahoma"/>
            <family val="2"/>
          </rPr>
          <t>Units per Load</t>
        </r>
      </text>
    </comment>
    <comment ref="H17" authorId="0">
      <text>
        <r>
          <rPr>
            <b/>
            <sz val="8"/>
            <color indexed="81"/>
            <rFont val="Tahoma"/>
            <family val="2"/>
          </rPr>
          <t>Roger Wilson:</t>
        </r>
        <r>
          <rPr>
            <sz val="8"/>
            <color indexed="81"/>
            <rFont val="Tahoma"/>
            <family val="2"/>
          </rPr>
          <t xml:space="preserve">
</t>
        </r>
        <r>
          <rPr>
            <sz val="8"/>
            <color indexed="81"/>
            <rFont val="Tahoma"/>
            <family val="2"/>
          </rPr>
          <t>Purchase Cost+Hauling Cost per Unit x Units Purchased</t>
        </r>
      </text>
    </comment>
    <comment ref="H21" authorId="0">
      <text>
        <r>
          <rPr>
            <b/>
            <sz val="8"/>
            <color indexed="81"/>
            <rFont val="Tahoma"/>
            <family val="2"/>
          </rPr>
          <t xml:space="preserve">Roger Wilson:
</t>
        </r>
        <r>
          <rPr>
            <sz val="8"/>
            <color indexed="81"/>
            <rFont val="Tahoma"/>
            <family val="2"/>
          </rPr>
          <t xml:space="preserve">
</t>
        </r>
        <r>
          <rPr>
            <u/>
            <sz val="8"/>
            <color indexed="81"/>
            <rFont val="Tahoma"/>
            <family val="2"/>
          </rPr>
          <t xml:space="preserve">Units Fed
</t>
        </r>
        <r>
          <rPr>
            <sz val="8"/>
            <color indexed="81"/>
            <rFont val="Tahoma"/>
            <family val="2"/>
          </rPr>
          <t>(1 - Storage Waste%)</t>
        </r>
      </text>
    </comment>
    <comment ref="H22" authorId="0">
      <text>
        <r>
          <rPr>
            <b/>
            <sz val="8"/>
            <color indexed="81"/>
            <rFont val="Tahoma"/>
            <family val="2"/>
          </rPr>
          <t>Roger Wilson:</t>
        </r>
        <r>
          <rPr>
            <sz val="8"/>
            <color indexed="81"/>
            <rFont val="Tahoma"/>
            <family val="2"/>
          </rPr>
          <t xml:space="preserve">
Units Stored X Cost per Unit Stored</t>
        </r>
      </text>
    </comment>
    <comment ref="H23" authorId="0">
      <text>
        <r>
          <rPr>
            <b/>
            <sz val="8"/>
            <color indexed="81"/>
            <rFont val="Tahoma"/>
            <family val="2"/>
          </rPr>
          <t>Roger Wilson:</t>
        </r>
        <r>
          <rPr>
            <sz val="8"/>
            <color indexed="81"/>
            <rFont val="Tahoma"/>
            <family val="2"/>
          </rPr>
          <t xml:space="preserve">
Units Stored X Unit Price + Feeding Cost + Storage Cost</t>
        </r>
      </text>
    </comment>
    <comment ref="H27" authorId="0">
      <text>
        <r>
          <rPr>
            <b/>
            <sz val="8"/>
            <color indexed="81"/>
            <rFont val="Tahoma"/>
            <family val="2"/>
          </rPr>
          <t xml:space="preserve">Roger Wilson:
</t>
        </r>
        <r>
          <rPr>
            <sz val="8"/>
            <color indexed="81"/>
            <rFont val="Tahoma"/>
            <family val="2"/>
          </rPr>
          <t xml:space="preserve">
</t>
        </r>
        <r>
          <rPr>
            <u/>
            <sz val="8"/>
            <color indexed="81"/>
            <rFont val="Tahoma"/>
            <family val="2"/>
          </rPr>
          <t xml:space="preserve">Feed Consumption Needed
</t>
        </r>
        <r>
          <rPr>
            <sz val="8"/>
            <color indexed="81"/>
            <rFont val="Tahoma"/>
            <family val="2"/>
          </rPr>
          <t>(1-Feeding Waste%)</t>
        </r>
      </text>
    </comment>
    <comment ref="H28" authorId="0">
      <text>
        <r>
          <rPr>
            <b/>
            <sz val="8"/>
            <color indexed="81"/>
            <rFont val="Tahoma"/>
            <family val="2"/>
          </rPr>
          <t>Roger Wilson:</t>
        </r>
        <r>
          <rPr>
            <sz val="8"/>
            <color indexed="81"/>
            <rFont val="Tahoma"/>
            <family val="2"/>
          </rPr>
          <t xml:space="preserve">
Units Fed X Cost per Unit</t>
        </r>
      </text>
    </comment>
    <comment ref="H29" authorId="0">
      <text>
        <r>
          <rPr>
            <b/>
            <sz val="8"/>
            <color indexed="81"/>
            <rFont val="Tahoma"/>
            <family val="2"/>
          </rPr>
          <t>Roger Wilson:</t>
        </r>
        <r>
          <rPr>
            <sz val="8"/>
            <color indexed="81"/>
            <rFont val="Tahoma"/>
            <family val="2"/>
          </rPr>
          <t xml:space="preserve">
Units Fed X Unit Price + Feeding Cost</t>
        </r>
      </text>
    </comment>
  </commentList>
</comments>
</file>

<file path=xl/sharedStrings.xml><?xml version="1.0" encoding="utf-8"?>
<sst xmlns="http://schemas.openxmlformats.org/spreadsheetml/2006/main" count="1129" uniqueCount="401">
  <si>
    <t>Feed Needed</t>
  </si>
  <si>
    <t>Feed Costs</t>
  </si>
  <si>
    <t>Feed Number</t>
  </si>
  <si>
    <t>Lbs / Hd / Day (As Fed)</t>
  </si>
  <si>
    <t>Total Costs</t>
  </si>
  <si>
    <t>Number of Days Fed</t>
  </si>
  <si>
    <t>Feed</t>
  </si>
  <si>
    <t>Number of Cows Fed</t>
  </si>
  <si>
    <t>Purchase</t>
  </si>
  <si>
    <t>Unit Price</t>
  </si>
  <si>
    <t>% Dry Matter</t>
  </si>
  <si>
    <t>lbs per Unit</t>
  </si>
  <si>
    <t>Units Purchased</t>
  </si>
  <si>
    <t>Cost</t>
  </si>
  <si>
    <t>Hauling</t>
  </si>
  <si>
    <t>Units per Load</t>
  </si>
  <si>
    <t>Cost per Mile</t>
  </si>
  <si>
    <t>Miles</t>
  </si>
  <si>
    <t>Cost per Unit</t>
  </si>
  <si>
    <t>Waste %</t>
  </si>
  <si>
    <t>Hauling Cost</t>
  </si>
  <si>
    <t>Storage</t>
  </si>
  <si>
    <t>Units Stored</t>
  </si>
  <si>
    <t>Storage Cost</t>
  </si>
  <si>
    <t>Subtotal Cost</t>
  </si>
  <si>
    <t xml:space="preserve">Feeding </t>
  </si>
  <si>
    <t>Units Fed</t>
  </si>
  <si>
    <t>Feeding Cost</t>
  </si>
  <si>
    <t>Total Cost</t>
  </si>
  <si>
    <t>Description</t>
  </si>
  <si>
    <t>Price per Unit</t>
  </si>
  <si>
    <t>Pounds per unit</t>
  </si>
  <si>
    <t>Nutrient values</t>
  </si>
  <si>
    <t>%DM</t>
  </si>
  <si>
    <t>%CP</t>
  </si>
  <si>
    <t>%TDN</t>
  </si>
  <si>
    <t>Cost per Pound of Nutrient Purchased</t>
  </si>
  <si>
    <t>CP $ per lb</t>
  </si>
  <si>
    <t>TDN $ per lb</t>
  </si>
  <si>
    <t>DM $ per lb</t>
  </si>
  <si>
    <t>Freight</t>
  </si>
  <si>
    <t>Rate per mile</t>
  </si>
  <si>
    <t>Units per load</t>
  </si>
  <si>
    <t>Cost per unit</t>
  </si>
  <si>
    <t>Waste (per cent)</t>
  </si>
  <si>
    <t>Per cent delivered</t>
  </si>
  <si>
    <t>Cost per Pound of Nutrient Delivered</t>
  </si>
  <si>
    <t>Per cent fed</t>
  </si>
  <si>
    <t>Cost per Pound of Nutrient Fed</t>
  </si>
  <si>
    <t>Feeding</t>
  </si>
  <si>
    <t>Per cent consumed</t>
  </si>
  <si>
    <t>Costs per Pound of Nutrient Consumed</t>
  </si>
  <si>
    <t>Cost per Pound of Purchased Nutrient</t>
  </si>
  <si>
    <t>Calculated Values</t>
  </si>
  <si>
    <t>FEED AVAILABILITY</t>
  </si>
  <si>
    <t>Corn yield</t>
  </si>
  <si>
    <t>bu/ac</t>
  </si>
  <si>
    <t>lbs DM per acre</t>
  </si>
  <si>
    <t>$</t>
  </si>
  <si>
    <t>Stalk harvest efficiency (50% Recommended)</t>
  </si>
  <si>
    <t>Available DM</t>
  </si>
  <si>
    <t>Total number of animals</t>
  </si>
  <si>
    <t>head</t>
  </si>
  <si>
    <t>Average animal weight</t>
  </si>
  <si>
    <t>Days on corn stalks</t>
  </si>
  <si>
    <t>days</t>
  </si>
  <si>
    <t>AUMs needed</t>
  </si>
  <si>
    <t>Cost per Pound of Available Nutrient</t>
  </si>
  <si>
    <t>Acres rented</t>
  </si>
  <si>
    <t>acres</t>
  </si>
  <si>
    <t>Acres needed</t>
  </si>
  <si>
    <t>Cost per acre</t>
  </si>
  <si>
    <t>per acre</t>
  </si>
  <si>
    <t>per animal per day</t>
  </si>
  <si>
    <t>NUTRITION</t>
  </si>
  <si>
    <t>Percent crude protein (on a DM basis)</t>
  </si>
  <si>
    <t>Cost per Pound With Cattle Hauling</t>
  </si>
  <si>
    <t>Percent TDN (on a DM basis)</t>
  </si>
  <si>
    <t>TRANSPORTATION</t>
  </si>
  <si>
    <t>Cattle transportation distance (ranch to corn field)</t>
  </si>
  <si>
    <t>miles</t>
  </si>
  <si>
    <t>Transportation cost per loaded mile</t>
  </si>
  <si>
    <t>per mile</t>
  </si>
  <si>
    <t>DM/AUM</t>
  </si>
  <si>
    <t>Animals per load</t>
  </si>
  <si>
    <t>CARE &amp; SUPERVISION</t>
  </si>
  <si>
    <t>How far to check cattle (one way)</t>
  </si>
  <si>
    <t>Cost per Pound of Nutrient Consumed</t>
  </si>
  <si>
    <t>Transportation cost per mile to check cattle</t>
  </si>
  <si>
    <t>Other charges (labor) per visit</t>
  </si>
  <si>
    <t>Number of supervisory visits</t>
  </si>
  <si>
    <t>Supervision Cost per Head</t>
  </si>
  <si>
    <t>=</t>
  </si>
  <si>
    <t>+</t>
  </si>
  <si>
    <r>
      <t xml:space="preserve">per pound of </t>
    </r>
    <r>
      <rPr>
        <b/>
        <sz val="10"/>
        <rFont val="Arial"/>
        <family val="2"/>
      </rPr>
      <t>Crude Protein</t>
    </r>
  </si>
  <si>
    <r>
      <t xml:space="preserve">per pound of </t>
    </r>
    <r>
      <rPr>
        <b/>
        <sz val="10"/>
        <rFont val="Arial"/>
        <family val="2"/>
      </rPr>
      <t>TDN</t>
    </r>
  </si>
  <si>
    <r>
      <t xml:space="preserve">per pound of </t>
    </r>
    <r>
      <rPr>
        <b/>
        <sz val="10"/>
        <rFont val="Arial"/>
        <family val="2"/>
      </rPr>
      <t>DM</t>
    </r>
  </si>
  <si>
    <t>Purchased Cost of Nutrient</t>
  </si>
  <si>
    <t>Inputs</t>
  </si>
  <si>
    <t>What is the name of this feed?</t>
  </si>
  <si>
    <t>lbs per unit</t>
  </si>
  <si>
    <t>CP</t>
  </si>
  <si>
    <t>TDN</t>
  </si>
  <si>
    <t>Units consumed</t>
  </si>
  <si>
    <t>How much does this feed cost?</t>
  </si>
  <si>
    <t>The above price is for how many pounds of feed?</t>
  </si>
  <si>
    <t>pounds per unit</t>
  </si>
  <si>
    <t>What is the percent dry matter?</t>
  </si>
  <si>
    <t>Delivered Cost of Nutrient</t>
  </si>
  <si>
    <t>What is the percent Crude Protein (on a DM basis)</t>
  </si>
  <si>
    <t>What is the percent TDN (on a DM basis)</t>
  </si>
  <si>
    <t>How far will this feed be transported?</t>
  </si>
  <si>
    <t>What is the cost per loaded mile?</t>
  </si>
  <si>
    <t>Fed Cost of Nutrient</t>
  </si>
  <si>
    <t>How much of the feed will be lost in hauling?</t>
  </si>
  <si>
    <t>How much will it cost to store this feed?</t>
  </si>
  <si>
    <t>How much of the feed will be lost in storage?</t>
  </si>
  <si>
    <t>How much will it cost to feed this feed?</t>
  </si>
  <si>
    <t>Consumed Cost of Nutrient</t>
  </si>
  <si>
    <t>How much will be lost when feeding?</t>
  </si>
  <si>
    <t>Corn</t>
  </si>
  <si>
    <t>Alfalfa Hay (Good)</t>
  </si>
  <si>
    <t>Grass Hay (Premium)</t>
  </si>
  <si>
    <t>The Purpose</t>
  </si>
  <si>
    <t>Objective 1</t>
  </si>
  <si>
    <t>Objective 2</t>
  </si>
  <si>
    <t>Step 1</t>
  </si>
  <si>
    <t>Step 2</t>
  </si>
  <si>
    <t>Step 3</t>
  </si>
  <si>
    <t>Written by</t>
  </si>
  <si>
    <t>Matt Stockton</t>
  </si>
  <si>
    <t>Roger Wilson</t>
  </si>
  <si>
    <t>University of Nebraska - West Central Research and Extension Center</t>
  </si>
  <si>
    <t>North Platte, NE  69101</t>
  </si>
  <si>
    <t>Dry Matter Basis</t>
  </si>
  <si>
    <t>Values</t>
  </si>
  <si>
    <t>Cost per pound</t>
  </si>
  <si>
    <t>DM</t>
  </si>
  <si>
    <t>Units Delivered</t>
  </si>
  <si>
    <t>Unit Name</t>
  </si>
  <si>
    <t>Grass Hay</t>
  </si>
  <si>
    <t>Data for 'Whole Herd' Calculations</t>
  </si>
  <si>
    <t>Delivered Cost</t>
  </si>
  <si>
    <t>Fed Cost</t>
  </si>
  <si>
    <t>Consumed Cost</t>
  </si>
  <si>
    <t>Purchased Cost</t>
  </si>
  <si>
    <t>Feed Cost Cow-Q-Lator</t>
  </si>
  <si>
    <t>Corn Stalk Inputs</t>
  </si>
  <si>
    <t>Stalk Rental</t>
  </si>
  <si>
    <t>Cost / trip / truck</t>
  </si>
  <si>
    <t>Total transportation</t>
  </si>
  <si>
    <t>Cost / animal</t>
  </si>
  <si>
    <t>Cost / visit</t>
  </si>
  <si>
    <t>Total</t>
  </si>
  <si>
    <t>Category Overall Total Costs</t>
  </si>
  <si>
    <t>Category Total Per Head Costs</t>
  </si>
  <si>
    <t>Category Per Head Per Day Costs</t>
  </si>
  <si>
    <t>Costs Summary</t>
  </si>
  <si>
    <t>Transport</t>
  </si>
  <si>
    <t>Care</t>
  </si>
  <si>
    <t>Cost per pound of feed consumed</t>
  </si>
  <si>
    <t>Oats</t>
  </si>
  <si>
    <t>Barley</t>
  </si>
  <si>
    <t>Wheat Screening</t>
  </si>
  <si>
    <t>Corn Gluten Feed</t>
  </si>
  <si>
    <t>Wheat Straw</t>
  </si>
  <si>
    <t>Sodium chloride (salt)</t>
  </si>
  <si>
    <t>Potassium sulfate</t>
  </si>
  <si>
    <t>Potassium chloride</t>
  </si>
  <si>
    <t>Phosphorus, sodium tripoly</t>
  </si>
  <si>
    <t>Phosphorus, monosodium</t>
  </si>
  <si>
    <t>Phosphorus, monocalcium</t>
  </si>
  <si>
    <t>Phosphorus, monoammonium</t>
  </si>
  <si>
    <t>Phosphorus, disodium</t>
  </si>
  <si>
    <t>Phosphorus, dicalcium</t>
  </si>
  <si>
    <t>Phosphorus, diammonium</t>
  </si>
  <si>
    <t>Phosphorus, deflourinated</t>
  </si>
  <si>
    <t>Phosphorus, curacao island</t>
  </si>
  <si>
    <t>Phosphorus, ammonium poly</t>
  </si>
  <si>
    <t>Phosphoric acid</t>
  </si>
  <si>
    <t>Magnesium oxide</t>
  </si>
  <si>
    <t>Limestone</t>
  </si>
  <si>
    <t>Calcium sulfate</t>
  </si>
  <si>
    <t>Bone meal</t>
  </si>
  <si>
    <t>Ammonium sulfate</t>
  </si>
  <si>
    <t>Minerals</t>
  </si>
  <si>
    <t>Mixed cool-season grasses, September</t>
  </si>
  <si>
    <t>Mixed cool-season grasses, August</t>
  </si>
  <si>
    <t>Mixed cool-season grasses, July</t>
  </si>
  <si>
    <t>Mixed cool-season grasses, June</t>
  </si>
  <si>
    <t>Grazed Forages-Nonirrigated Meadow</t>
  </si>
  <si>
    <t>Mixed warm-season grasses, September</t>
  </si>
  <si>
    <t>Mixed warm-season grasses, August</t>
  </si>
  <si>
    <t>Mixed warm-season grasses, July</t>
  </si>
  <si>
    <t>Mixed warm-season grasses, June</t>
  </si>
  <si>
    <t>Mixed cool-season grasses, Septmeber</t>
  </si>
  <si>
    <t>Grazed Forages-Sandhills Range</t>
  </si>
  <si>
    <t>Smooth Brome hay, July</t>
  </si>
  <si>
    <t>Smooth brome hay, June</t>
  </si>
  <si>
    <t>Smooth brome hay, May</t>
  </si>
  <si>
    <t>Grazed Forages-Eastern Nebraska</t>
  </si>
  <si>
    <t>Wheat pasture, early vegetative</t>
  </si>
  <si>
    <t>Sudan grass, stems</t>
  </si>
  <si>
    <t>Sudan grass, leaves</t>
  </si>
  <si>
    <t>pearlmiller, stems</t>
  </si>
  <si>
    <t>Pearlmillet, leaves</t>
  </si>
  <si>
    <t>Grazed Forages-Crops</t>
  </si>
  <si>
    <t>Turnip tops</t>
  </si>
  <si>
    <t>Turnip roots</t>
  </si>
  <si>
    <t>Sweet clover silage, mid bloom</t>
  </si>
  <si>
    <t>Sweet clover silage, early bloom</t>
  </si>
  <si>
    <t>Sudan-X silage</t>
  </si>
  <si>
    <t>Sudan silage, mature</t>
  </si>
  <si>
    <t>Sudan silage, early bloom</t>
  </si>
  <si>
    <t>Sudan silage, immature</t>
  </si>
  <si>
    <t>Sorghum silage</t>
  </si>
  <si>
    <t>Sunflower silage</t>
  </si>
  <si>
    <t>Small grains silage, high grain</t>
  </si>
  <si>
    <t>Small grains silage, dough</t>
  </si>
  <si>
    <t>Small grains silage, flower</t>
  </si>
  <si>
    <t>Potato silage</t>
  </si>
  <si>
    <t>Grass legume silage</t>
  </si>
  <si>
    <t>Corn silage, drought damaged</t>
  </si>
  <si>
    <t>Corn silage</t>
  </si>
  <si>
    <t>Beet top silage</t>
  </si>
  <si>
    <t>Beet tailings silage</t>
  </si>
  <si>
    <t>Alfalfa &amp; Brome silage</t>
  </si>
  <si>
    <t>Alfalfa silage, mature</t>
  </si>
  <si>
    <t>Alfalfa silage, mid bloom</t>
  </si>
  <si>
    <t>Alfalfa silage, early bloom</t>
  </si>
  <si>
    <t>Alfalfa silage, immature</t>
  </si>
  <si>
    <t>Alfalfa haylage, early bloom</t>
  </si>
  <si>
    <t>Alfalfa haylage, immature</t>
  </si>
  <si>
    <t>Silages</t>
  </si>
  <si>
    <t>Soy pass</t>
  </si>
  <si>
    <t>Wheat straw</t>
  </si>
  <si>
    <t>Western wheat grass hay, early bloom</t>
  </si>
  <si>
    <t>Sweet clover hay, mature</t>
  </si>
  <si>
    <t>Sweet clover hay, full bloom</t>
  </si>
  <si>
    <t>Sweet clover hay, mid bloom</t>
  </si>
  <si>
    <t>Sweet clover hay, early bloom</t>
  </si>
  <si>
    <t>Sunflower hulls</t>
  </si>
  <si>
    <t>Sudan grass hay, mature</t>
  </si>
  <si>
    <t>Sudan grass hay, early bloom</t>
  </si>
  <si>
    <t>Soybean straw</t>
  </si>
  <si>
    <t>Soybean hay</t>
  </si>
  <si>
    <t>Sorghum stover</t>
  </si>
  <si>
    <t>Sorghum fodder</t>
  </si>
  <si>
    <t>Sorghum cane hay</t>
  </si>
  <si>
    <t>Small grains hay, high grain</t>
  </si>
  <si>
    <t>Small grains hay, dough</t>
  </si>
  <si>
    <t>Small grains hay, early bloom</t>
  </si>
  <si>
    <t>Rice hulls</t>
  </si>
  <si>
    <t>Reed canary grass hay, early bloom</t>
  </si>
  <si>
    <t>Red clover hay, early bloom</t>
  </si>
  <si>
    <t>Prairie hay, mature</t>
  </si>
  <si>
    <t>Prairie hay, full bloom</t>
  </si>
  <si>
    <t>Prairie hay, early bloom</t>
  </si>
  <si>
    <t>Pearlmillet hay</t>
  </si>
  <si>
    <t>Orchardgrass hay, mature</t>
  </si>
  <si>
    <t>Orchardgrass hay, early bloom</t>
  </si>
  <si>
    <t>Oat straw</t>
  </si>
  <si>
    <t>Oat hulls</t>
  </si>
  <si>
    <t>Oat hay, flower</t>
  </si>
  <si>
    <t>Millet hay</t>
  </si>
  <si>
    <t>Fescue hay, mature</t>
  </si>
  <si>
    <t>Fescue hay, early bloom</t>
  </si>
  <si>
    <t>Crested wheatgrass hay, mature</t>
  </si>
  <si>
    <t>Crested wheatgrass hay, full bloom</t>
  </si>
  <si>
    <t>Crested wheatgrass hay, mid bloom</t>
  </si>
  <si>
    <t>Cottonseed hulls</t>
  </si>
  <si>
    <t>Corn stover</t>
  </si>
  <si>
    <t>Corn shux</t>
  </si>
  <si>
    <t>Corncobs</t>
  </si>
  <si>
    <t>Buffalo hay</t>
  </si>
  <si>
    <t>Brome hay, mature</t>
  </si>
  <si>
    <t>Brome hay, mid bloom</t>
  </si>
  <si>
    <t>Brome hay, early bloom</t>
  </si>
  <si>
    <t>Brome hay, immature</t>
  </si>
  <si>
    <t>Bluestem hay, mature</t>
  </si>
  <si>
    <t>Blue Gamma hay, mature</t>
  </si>
  <si>
    <t>Birdsfoot hay, mature</t>
  </si>
  <si>
    <t>Barley straw</t>
  </si>
  <si>
    <t>Alfalfa-brome, mid bloom</t>
  </si>
  <si>
    <t>Alfalfa-brome, early bloom</t>
  </si>
  <si>
    <t>Alfalfa hay, mature</t>
  </si>
  <si>
    <t>Alfalfa hay, mid bloom</t>
  </si>
  <si>
    <t>Alfalfa hay, early bloom</t>
  </si>
  <si>
    <t>Alfalfa hay, immature</t>
  </si>
  <si>
    <t>Alfalfa dehy, 20% protein</t>
  </si>
  <si>
    <t>Alfalfa dehy, 17% protein</t>
  </si>
  <si>
    <t>Alfalfa dehy, 15% protein</t>
  </si>
  <si>
    <t>Dry Roughages</t>
  </si>
  <si>
    <t>Urea</t>
  </si>
  <si>
    <t>Sunflower meal - hulls, solvent</t>
  </si>
  <si>
    <t>Sunflower meal + hulls, solvent</t>
  </si>
  <si>
    <t>Sunflower meal, expeller</t>
  </si>
  <si>
    <t>Sunflower seeds, OIL</t>
  </si>
  <si>
    <t>Sunflower seeds, CONF</t>
  </si>
  <si>
    <t>Soybeans, roasted</t>
  </si>
  <si>
    <t>Soybeans, raw</t>
  </si>
  <si>
    <t>Soybean meal, solvent</t>
  </si>
  <si>
    <t>Soybean meal, expeller</t>
  </si>
  <si>
    <t>Safflower meal, solvent</t>
  </si>
  <si>
    <t>Safflower meal, expeller</t>
  </si>
  <si>
    <t>Poultry waste, layer</t>
  </si>
  <si>
    <t>Poultry waste, broiler</t>
  </si>
  <si>
    <t>Peanut meal, solvent</t>
  </si>
  <si>
    <t>Meat &amp; Bone meal</t>
  </si>
  <si>
    <t>Meat Scraps</t>
  </si>
  <si>
    <t>Linseed meal. solvent</t>
  </si>
  <si>
    <t>Fish meal</t>
  </si>
  <si>
    <t>Feather meal</t>
  </si>
  <si>
    <t>Distillers solubles, sorghum</t>
  </si>
  <si>
    <t>Distillers grains + solubles, sorghum</t>
  </si>
  <si>
    <t>Distillers wet grains, sorghum</t>
  </si>
  <si>
    <t>Distillers dried grains, sorghum</t>
  </si>
  <si>
    <t>Distillers solubles</t>
  </si>
  <si>
    <t>Distillers grains+ solubles, corn</t>
  </si>
  <si>
    <t>Distillers wet grains, corn</t>
  </si>
  <si>
    <t>Distillers dried grains, corn</t>
  </si>
  <si>
    <t>Crambe meal</t>
  </si>
  <si>
    <t>Cottonseed meal, solvent</t>
  </si>
  <si>
    <t>Cottonseed meal, expeller</t>
  </si>
  <si>
    <t>Cottonseed, linted</t>
  </si>
  <si>
    <t>Corn steep liquor</t>
  </si>
  <si>
    <t>Corn gluten meal</t>
  </si>
  <si>
    <t>,1</t>
  </si>
  <si>
    <t>Corn gluten feed, wet, MCP</t>
  </si>
  <si>
    <t>Corn gluten feed, wet, Cargill</t>
  </si>
  <si>
    <t>Corn gluten feed, dry</t>
  </si>
  <si>
    <t>Casein</t>
  </si>
  <si>
    <t>Canola meal</t>
  </si>
  <si>
    <t>Buttermilk</t>
  </si>
  <si>
    <t>Brewers wet grains</t>
  </si>
  <si>
    <t>Brewers dried grains</t>
  </si>
  <si>
    <t>Blood meal, flash dried</t>
  </si>
  <si>
    <t>Blood meal, cooked</t>
  </si>
  <si>
    <t>Beans, cull</t>
  </si>
  <si>
    <t>Protein Sources</t>
  </si>
  <si>
    <t>Xanthan gum</t>
  </si>
  <si>
    <t>Whey, dried</t>
  </si>
  <si>
    <t>Whey, condensed</t>
  </si>
  <si>
    <t xml:space="preserve">Wheat shorts </t>
  </si>
  <si>
    <t>Wheat screenings</t>
  </si>
  <si>
    <t>Wheat middlings</t>
  </si>
  <si>
    <t>Wheat bran</t>
  </si>
  <si>
    <t>Soybean hulls</t>
  </si>
  <si>
    <t>Sorghum screenings</t>
  </si>
  <si>
    <t>Rice Bran</t>
  </si>
  <si>
    <t>Molasses, corn sugar</t>
  </si>
  <si>
    <t>Molasses, cane</t>
  </si>
  <si>
    <t>Molasses, beet</t>
  </si>
  <si>
    <t>Lignosulfonate, ammoniated</t>
  </si>
  <si>
    <t>Hominy</t>
  </si>
  <si>
    <t>Corn screenings</t>
  </si>
  <si>
    <t>Beet pulp, with molasses</t>
  </si>
  <si>
    <t>Beet pulp, wet</t>
  </si>
  <si>
    <t>Beet pulp, dry</t>
  </si>
  <si>
    <t>Animal fat</t>
  </si>
  <si>
    <t>Almond hulls</t>
  </si>
  <si>
    <t>By-Product Energy Feeds</t>
  </si>
  <si>
    <t>Wheat, steam rolled</t>
  </si>
  <si>
    <t>Wheat, soft, dry rolled</t>
  </si>
  <si>
    <t>Wheat, hard, dry rolled</t>
  </si>
  <si>
    <t>Wheat, durum, dry rolled</t>
  </si>
  <si>
    <t>Triticale</t>
  </si>
  <si>
    <t>Spelt</t>
  </si>
  <si>
    <t>Sorghum, high moisture</t>
  </si>
  <si>
    <t>Sorghum, flaked</t>
  </si>
  <si>
    <t>Sorghum, dry rolled</t>
  </si>
  <si>
    <t>Rye</t>
  </si>
  <si>
    <t>Potatoes</t>
  </si>
  <si>
    <t>Oats, heavy</t>
  </si>
  <si>
    <t>Oats, light</t>
  </si>
  <si>
    <t>Millet</t>
  </si>
  <si>
    <t>Corn, high moisture snapped</t>
  </si>
  <si>
    <t>Corn, high moisture ear</t>
  </si>
  <si>
    <t>Corn, high moisture</t>
  </si>
  <si>
    <t>Corn, flaked</t>
  </si>
  <si>
    <t>Corn,ear</t>
  </si>
  <si>
    <t>Corn, dry rolled</t>
  </si>
  <si>
    <t>Barley, thin</t>
  </si>
  <si>
    <t>Barley, thick</t>
  </si>
  <si>
    <t>Grains</t>
  </si>
  <si>
    <t>Magnesium</t>
  </si>
  <si>
    <t>Sulfur</t>
  </si>
  <si>
    <t>Potassium</t>
  </si>
  <si>
    <t>Phosphorus</t>
  </si>
  <si>
    <t>Calcium</t>
  </si>
  <si>
    <t>NEm</t>
  </si>
  <si>
    <t>NEg</t>
  </si>
  <si>
    <t>NEl</t>
  </si>
  <si>
    <t>DIP</t>
  </si>
  <si>
    <t xml:space="preserve">UIP </t>
  </si>
  <si>
    <t>Protein</t>
  </si>
  <si>
    <t>Dry Matter (%)</t>
  </si>
  <si>
    <t>*</t>
  </si>
  <si>
    <t>Common compositions of feeds may be seen in the 'Feed List' tab.</t>
  </si>
  <si>
    <t>v 13 5 14</t>
  </si>
  <si>
    <t>Disclaimer of Warranties and Limitation of Liability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</si>
</sst>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quot;$&quot;* #,##0_);_(&quot;$&quot;* \(#,##0\);_(&quot;$&quot;* &quot;-&quot;_);_(@_)"/>
    <numFmt numFmtId="44" formatCode="_(&quot;$&quot;* #,##0.00_);_(&quot;$&quot;* \(#,##0.00\);_(&quot;$&quot;* &quot;-&quot;??_);_(@_)"/>
    <numFmt numFmtId="43" formatCode="_(* #,##0.00_);_(* \(#,##0.00\);_(* &quot;-&quot;??_);_(@_)"/>
    <numFmt numFmtId="164" formatCode="0.0%"/>
    <numFmt numFmtId="165" formatCode="#,##0.0000_);\(#,##0.0000\)"/>
    <numFmt numFmtId="166" formatCode="_(* #,##0_);_(* \(#,##0\);_(* &quot;-&quot;??_);_(@_)"/>
    <numFmt numFmtId="167" formatCode="0.0000"/>
    <numFmt numFmtId="168" formatCode="0.000"/>
    <numFmt numFmtId="169" formatCode="_(&quot;$&quot;* #,##0.000_);_(&quot;$&quot;* \(#,##0.000\);_(&quot;$&quot;* &quot;-&quot;??_);_(@_)"/>
    <numFmt numFmtId="170" formatCode="&quot;$&quot;#,##0.00"/>
    <numFmt numFmtId="171" formatCode="&quot;$&quot;#,##0"/>
    <numFmt numFmtId="172" formatCode="_(&quot;$&quot;* #,##0.00_);_(&quot;$&quot;* \(#,##0.00\);_(&quot;$&quot;* &quot;-&quot;_);_(@_)"/>
  </numFmts>
  <fonts count="39" x14ac:knownFonts="1">
    <font>
      <sz val="10"/>
      <name val="Arial"/>
    </font>
    <font>
      <sz val="10"/>
      <name val="Arial"/>
      <family val="2"/>
    </font>
    <font>
      <sz val="8"/>
      <name val="Arial"/>
      <family val="2"/>
    </font>
    <font>
      <b/>
      <sz val="18"/>
      <name val="Arial"/>
      <family val="2"/>
    </font>
    <font>
      <b/>
      <sz val="10"/>
      <name val="Arial"/>
      <family val="2"/>
    </font>
    <font>
      <sz val="10"/>
      <color indexed="22"/>
      <name val="Arial"/>
      <family val="2"/>
    </font>
    <font>
      <b/>
      <sz val="14"/>
      <name val="Arial"/>
      <family val="2"/>
    </font>
    <font>
      <b/>
      <sz val="14"/>
      <color indexed="9"/>
      <name val="Arial"/>
      <family val="2"/>
    </font>
    <font>
      <b/>
      <sz val="10"/>
      <color indexed="22"/>
      <name val="Arial"/>
      <family val="2"/>
    </font>
    <font>
      <b/>
      <sz val="10"/>
      <color indexed="41"/>
      <name val="Arial"/>
      <family val="2"/>
    </font>
    <font>
      <b/>
      <sz val="10"/>
      <color indexed="12"/>
      <name val="Arial"/>
      <family val="2"/>
    </font>
    <font>
      <b/>
      <sz val="10"/>
      <color indexed="8"/>
      <name val="Arial"/>
      <family val="2"/>
    </font>
    <font>
      <b/>
      <sz val="12"/>
      <name val="Arial"/>
      <family val="2"/>
    </font>
    <font>
      <b/>
      <sz val="8"/>
      <color indexed="81"/>
      <name val="Tahoma"/>
      <family val="2"/>
    </font>
    <font>
      <sz val="8"/>
      <color indexed="81"/>
      <name val="Tahoma"/>
      <family val="2"/>
    </font>
    <font>
      <u/>
      <sz val="8"/>
      <color indexed="81"/>
      <name val="Tahoma"/>
      <family val="2"/>
    </font>
    <font>
      <sz val="10"/>
      <color indexed="13"/>
      <name val="Arial"/>
      <family val="2"/>
    </font>
    <font>
      <sz val="10"/>
      <color indexed="12"/>
      <name val="Arial"/>
      <family val="2"/>
    </font>
    <font>
      <sz val="14"/>
      <name val="Arial"/>
      <family val="2"/>
    </font>
    <font>
      <sz val="10"/>
      <color indexed="8"/>
      <name val="Arial"/>
      <family val="2"/>
    </font>
    <font>
      <b/>
      <sz val="11"/>
      <color indexed="8"/>
      <name val="Arial"/>
      <family val="2"/>
    </font>
    <font>
      <b/>
      <sz val="11"/>
      <color indexed="9"/>
      <name val="Arial"/>
      <family val="2"/>
    </font>
    <font>
      <b/>
      <sz val="10"/>
      <color indexed="8"/>
      <name val="Arial"/>
      <family val="2"/>
    </font>
    <font>
      <b/>
      <sz val="11"/>
      <name val="Arial"/>
      <family val="2"/>
    </font>
    <font>
      <b/>
      <sz val="11"/>
      <color indexed="12"/>
      <name val="Arial"/>
      <family val="2"/>
    </font>
    <font>
      <sz val="10"/>
      <name val="Arial"/>
      <family val="2"/>
    </font>
    <font>
      <sz val="10"/>
      <color indexed="12"/>
      <name val="Arial"/>
      <family val="2"/>
    </font>
    <font>
      <b/>
      <sz val="12"/>
      <color indexed="12"/>
      <name val="Arial"/>
      <family val="2"/>
    </font>
    <font>
      <sz val="14"/>
      <color indexed="12"/>
      <name val="Arial"/>
      <family val="2"/>
    </font>
    <font>
      <sz val="48"/>
      <color indexed="48"/>
      <name val="Arial Rounded MT Bold"/>
      <family val="2"/>
    </font>
    <font>
      <sz val="24"/>
      <name val="Arial"/>
      <family val="2"/>
    </font>
    <font>
      <sz val="24"/>
      <color indexed="12"/>
      <name val="Arial Rounded MT Bold"/>
      <family val="2"/>
    </font>
    <font>
      <b/>
      <sz val="10"/>
      <color indexed="18"/>
      <name val="Arial"/>
      <family val="2"/>
    </font>
    <font>
      <b/>
      <sz val="10"/>
      <color rgb="FFFF0000"/>
      <name val="Arial"/>
      <family val="2"/>
    </font>
    <font>
      <b/>
      <sz val="16"/>
      <color rgb="FFFF0000"/>
      <name val="Arial"/>
      <family val="2"/>
    </font>
    <font>
      <sz val="14"/>
      <color rgb="FF0000FF"/>
      <name val="Arial"/>
      <family val="2"/>
    </font>
    <font>
      <b/>
      <i/>
      <sz val="12"/>
      <name val="Arial"/>
      <family val="2"/>
    </font>
    <font>
      <sz val="10"/>
      <color rgb="FFFF0000"/>
      <name val="Arial"/>
      <family val="2"/>
    </font>
    <font>
      <b/>
      <sz val="11"/>
      <name val="Times New Roman"/>
      <family val="1"/>
    </font>
  </fonts>
  <fills count="9">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0"/>
        <bgColor indexed="64"/>
      </patternFill>
    </fill>
    <fill>
      <patternFill patternType="solid">
        <fgColor indexed="47"/>
        <bgColor indexed="64"/>
      </patternFill>
    </fill>
    <fill>
      <patternFill patternType="solid">
        <fgColor indexed="9"/>
        <bgColor indexed="64"/>
      </patternFill>
    </fill>
    <fill>
      <patternFill patternType="solid">
        <fgColor indexed="11"/>
        <bgColor indexed="64"/>
      </patternFill>
    </fill>
    <fill>
      <patternFill patternType="solid">
        <fgColor rgb="FFFFFF00"/>
        <bgColor indexed="64"/>
      </patternFill>
    </fill>
  </fills>
  <borders count="46">
    <border>
      <left/>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style="double">
        <color indexed="64"/>
      </top>
      <bottom/>
      <diagonal/>
    </border>
    <border>
      <left/>
      <right style="medium">
        <color indexed="64"/>
      </right>
      <top/>
      <bottom style="double">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282">
    <xf numFmtId="0" fontId="0" fillId="0" borderId="0" xfId="0"/>
    <xf numFmtId="0" fontId="3" fillId="2" borderId="0" xfId="0" applyFont="1" applyFill="1" applyAlignment="1">
      <alignment horizontal="left"/>
    </xf>
    <xf numFmtId="0" fontId="4" fillId="2" borderId="0" xfId="0" applyFont="1" applyFill="1"/>
    <xf numFmtId="0" fontId="4" fillId="2" borderId="0" xfId="0" applyFont="1" applyFill="1" applyAlignment="1">
      <alignment horizontal="center"/>
    </xf>
    <xf numFmtId="0" fontId="5" fillId="2" borderId="0" xfId="0" applyFont="1" applyFill="1"/>
    <xf numFmtId="166" fontId="4" fillId="2" borderId="0" xfId="1" applyNumberFormat="1" applyFont="1" applyFill="1" applyAlignment="1">
      <alignment horizontal="center"/>
    </xf>
    <xf numFmtId="0" fontId="0" fillId="2" borderId="0" xfId="0" applyFill="1"/>
    <xf numFmtId="0" fontId="6" fillId="3" borderId="1" xfId="0" applyFont="1" applyFill="1" applyBorder="1" applyAlignment="1">
      <alignment horizontal="center"/>
    </xf>
    <xf numFmtId="0" fontId="6" fillId="3" borderId="2" xfId="0" applyFont="1" applyFill="1" applyBorder="1" applyAlignment="1">
      <alignment horizontal="center"/>
    </xf>
    <xf numFmtId="0" fontId="7" fillId="4" borderId="2" xfId="0" applyFont="1" applyFill="1" applyBorder="1" applyAlignment="1" applyProtection="1">
      <alignment horizontal="center"/>
      <protection locked="0"/>
    </xf>
    <xf numFmtId="0" fontId="0" fillId="3" borderId="3" xfId="0" applyFill="1" applyBorder="1" applyAlignment="1">
      <alignment wrapText="1"/>
    </xf>
    <xf numFmtId="0" fontId="8" fillId="2" borderId="0" xfId="0" applyFont="1" applyFill="1" applyBorder="1"/>
    <xf numFmtId="0" fontId="9" fillId="5" borderId="4" xfId="0" applyFont="1" applyFill="1" applyBorder="1"/>
    <xf numFmtId="0" fontId="10" fillId="5" borderId="5" xfId="0" applyFont="1" applyFill="1" applyBorder="1"/>
    <xf numFmtId="0" fontId="10" fillId="5" borderId="5" xfId="0" applyFont="1" applyFill="1" applyBorder="1" applyAlignment="1">
      <alignment horizontal="center" wrapText="1"/>
    </xf>
    <xf numFmtId="0" fontId="10" fillId="5" borderId="6" xfId="0" applyFont="1" applyFill="1" applyBorder="1" applyAlignment="1">
      <alignment horizontal="center" wrapText="1"/>
    </xf>
    <xf numFmtId="0" fontId="4" fillId="3" borderId="7" xfId="0" applyFont="1" applyFill="1" applyBorder="1" applyAlignment="1">
      <alignment horizontal="center"/>
    </xf>
    <xf numFmtId="0" fontId="4" fillId="3" borderId="0" xfId="0" applyFont="1" applyFill="1" applyBorder="1" applyAlignment="1">
      <alignment horizontal="center"/>
    </xf>
    <xf numFmtId="0" fontId="4" fillId="0" borderId="0" xfId="0" applyFont="1" applyFill="1" applyBorder="1" applyAlignment="1" applyProtection="1">
      <alignment horizontal="center"/>
      <protection locked="0"/>
    </xf>
    <xf numFmtId="0" fontId="0" fillId="3" borderId="8" xfId="0" applyFill="1" applyBorder="1"/>
    <xf numFmtId="0" fontId="9" fillId="5" borderId="7" xfId="0" applyFont="1" applyFill="1" applyBorder="1"/>
    <xf numFmtId="0" fontId="10" fillId="5" borderId="0" xfId="0" applyFont="1" applyFill="1" applyBorder="1"/>
    <xf numFmtId="0" fontId="8" fillId="2" borderId="0" xfId="0" applyFont="1" applyFill="1" applyBorder="1" applyAlignment="1">
      <alignment wrapText="1"/>
    </xf>
    <xf numFmtId="0" fontId="9" fillId="5" borderId="9" xfId="0" applyFont="1" applyFill="1" applyBorder="1" applyAlignment="1">
      <alignment wrapText="1"/>
    </xf>
    <xf numFmtId="0" fontId="11" fillId="5" borderId="10" xfId="0" applyFont="1" applyFill="1" applyBorder="1" applyAlignment="1">
      <alignment wrapText="1"/>
    </xf>
    <xf numFmtId="0" fontId="8" fillId="2" borderId="0" xfId="0" applyFont="1" applyFill="1"/>
    <xf numFmtId="0" fontId="4" fillId="5" borderId="11" xfId="0" applyFont="1" applyFill="1" applyBorder="1"/>
    <xf numFmtId="43" fontId="10" fillId="5" borderId="11" xfId="1" applyFont="1" applyFill="1" applyBorder="1"/>
    <xf numFmtId="43" fontId="10" fillId="5" borderId="8" xfId="1" applyFont="1" applyFill="1" applyBorder="1"/>
    <xf numFmtId="0" fontId="0" fillId="2" borderId="0" xfId="0" applyFill="1" applyAlignment="1">
      <alignment wrapText="1"/>
    </xf>
    <xf numFmtId="0" fontId="4" fillId="5" borderId="12" xfId="0" applyFont="1" applyFill="1" applyBorder="1" applyAlignment="1">
      <alignment horizontal="right"/>
    </xf>
    <xf numFmtId="43" fontId="10" fillId="5" borderId="12" xfId="1" applyNumberFormat="1" applyFont="1" applyFill="1" applyBorder="1" applyAlignment="1">
      <alignment horizontal="center"/>
    </xf>
    <xf numFmtId="164" fontId="10" fillId="3" borderId="8" xfId="3" applyNumberFormat="1" applyFont="1" applyFill="1" applyBorder="1"/>
    <xf numFmtId="0" fontId="4" fillId="5" borderId="0" xfId="0" applyFont="1" applyFill="1" applyBorder="1"/>
    <xf numFmtId="164" fontId="10" fillId="5" borderId="0" xfId="3" applyNumberFormat="1" applyFont="1" applyFill="1" applyBorder="1"/>
    <xf numFmtId="164" fontId="10" fillId="5" borderId="8" xfId="3" applyNumberFormat="1" applyFont="1" applyFill="1" applyBorder="1"/>
    <xf numFmtId="0" fontId="0" fillId="3" borderId="13" xfId="0" applyFill="1" applyBorder="1"/>
    <xf numFmtId="0" fontId="0" fillId="3" borderId="14" xfId="0" applyFill="1" applyBorder="1"/>
    <xf numFmtId="0" fontId="0" fillId="3" borderId="15" xfId="0" applyFill="1" applyBorder="1"/>
    <xf numFmtId="166" fontId="10" fillId="5" borderId="0" xfId="1" applyNumberFormat="1" applyFont="1" applyFill="1" applyBorder="1"/>
    <xf numFmtId="166" fontId="10" fillId="5" borderId="8" xfId="1" applyNumberFormat="1" applyFont="1" applyFill="1" applyBorder="1"/>
    <xf numFmtId="43" fontId="10" fillId="5" borderId="0" xfId="1" applyFont="1" applyFill="1" applyBorder="1"/>
    <xf numFmtId="0" fontId="4" fillId="5" borderId="16" xfId="0" applyFont="1" applyFill="1" applyBorder="1"/>
    <xf numFmtId="43" fontId="10" fillId="5" borderId="16" xfId="1" applyFont="1" applyFill="1" applyBorder="1"/>
    <xf numFmtId="43" fontId="10" fillId="5" borderId="17" xfId="1" applyFont="1" applyFill="1" applyBorder="1"/>
    <xf numFmtId="0" fontId="10" fillId="5" borderId="8" xfId="0" applyFont="1" applyFill="1" applyBorder="1"/>
    <xf numFmtId="0" fontId="4" fillId="5" borderId="7" xfId="0" applyFont="1" applyFill="1" applyBorder="1"/>
    <xf numFmtId="0" fontId="4" fillId="5" borderId="14" xfId="0" applyFont="1" applyFill="1" applyBorder="1"/>
    <xf numFmtId="43" fontId="10" fillId="5" borderId="14" xfId="1" applyFont="1" applyFill="1" applyBorder="1"/>
    <xf numFmtId="43" fontId="10" fillId="5" borderId="15" xfId="1" applyFont="1" applyFill="1" applyBorder="1"/>
    <xf numFmtId="0" fontId="16" fillId="3" borderId="4" xfId="0" applyFont="1" applyFill="1" applyBorder="1"/>
    <xf numFmtId="0" fontId="0" fillId="3" borderId="18" xfId="0" applyFill="1" applyBorder="1"/>
    <xf numFmtId="0" fontId="0" fillId="3" borderId="6" xfId="0" applyFill="1" applyBorder="1"/>
    <xf numFmtId="0" fontId="16" fillId="3" borderId="7" xfId="0" applyFont="1" applyFill="1" applyBorder="1"/>
    <xf numFmtId="0" fontId="17" fillId="3" borderId="0" xfId="0" applyFont="1" applyFill="1" applyBorder="1"/>
    <xf numFmtId="0" fontId="19" fillId="3" borderId="0" xfId="0" applyFont="1" applyFill="1" applyBorder="1"/>
    <xf numFmtId="0" fontId="20" fillId="3" borderId="0" xfId="0" applyFont="1" applyFill="1" applyBorder="1" applyAlignment="1">
      <alignment horizontal="center"/>
    </xf>
    <xf numFmtId="0" fontId="21" fillId="4" borderId="19" xfId="0" applyFont="1" applyFill="1" applyBorder="1" applyAlignment="1" applyProtection="1">
      <alignment horizontal="center" wrapText="1"/>
      <protection locked="0"/>
    </xf>
    <xf numFmtId="0" fontId="21" fillId="4" borderId="20" xfId="0" applyFont="1" applyFill="1" applyBorder="1" applyAlignment="1" applyProtection="1">
      <alignment horizontal="center" wrapText="1"/>
      <protection locked="0"/>
    </xf>
    <xf numFmtId="0" fontId="21" fillId="4" borderId="0" xfId="0" applyFont="1" applyFill="1" applyBorder="1" applyAlignment="1" applyProtection="1">
      <alignment horizontal="center" wrapText="1"/>
      <protection locked="0"/>
    </xf>
    <xf numFmtId="0" fontId="16" fillId="3" borderId="7" xfId="0" applyFont="1" applyFill="1" applyBorder="1" applyAlignment="1">
      <alignment horizontal="center" wrapText="1"/>
    </xf>
    <xf numFmtId="0" fontId="22" fillId="3" borderId="10" xfId="0" applyFont="1" applyFill="1" applyBorder="1" applyAlignment="1">
      <alignment horizontal="center" wrapText="1"/>
    </xf>
    <xf numFmtId="0" fontId="20" fillId="3" borderId="10" xfId="0" applyFont="1" applyFill="1" applyBorder="1" applyAlignment="1">
      <alignment horizontal="center" wrapText="1"/>
    </xf>
    <xf numFmtId="0" fontId="23" fillId="3" borderId="21" xfId="0" applyFont="1" applyFill="1" applyBorder="1" applyAlignment="1">
      <alignment horizontal="center" wrapText="1"/>
    </xf>
    <xf numFmtId="0" fontId="23" fillId="3" borderId="22" xfId="0" applyFont="1" applyFill="1" applyBorder="1" applyAlignment="1">
      <alignment horizontal="center" wrapText="1"/>
    </xf>
    <xf numFmtId="0" fontId="23" fillId="3" borderId="10" xfId="0" applyFont="1" applyFill="1" applyBorder="1" applyAlignment="1">
      <alignment horizontal="center" wrapText="1"/>
    </xf>
    <xf numFmtId="0" fontId="0" fillId="3" borderId="8" xfId="0" applyFill="1" applyBorder="1" applyAlignment="1">
      <alignment horizontal="center" wrapText="1"/>
    </xf>
    <xf numFmtId="0" fontId="0" fillId="2" borderId="0" xfId="0" applyFill="1" applyAlignment="1">
      <alignment horizontal="center" wrapText="1"/>
    </xf>
    <xf numFmtId="0" fontId="22" fillId="3" borderId="0" xfId="0" applyFont="1" applyFill="1" applyBorder="1"/>
    <xf numFmtId="0" fontId="20" fillId="3" borderId="0" xfId="0" applyFont="1" applyFill="1" applyBorder="1"/>
    <xf numFmtId="44" fontId="24" fillId="3" borderId="23" xfId="2" applyFont="1" applyFill="1" applyBorder="1" applyAlignment="1">
      <alignment horizontal="right"/>
    </xf>
    <xf numFmtId="44" fontId="24" fillId="3" borderId="24" xfId="2" applyFont="1" applyFill="1" applyBorder="1" applyAlignment="1">
      <alignment horizontal="right"/>
    </xf>
    <xf numFmtId="44" fontId="24" fillId="3" borderId="0" xfId="2" applyFont="1" applyFill="1" applyBorder="1" applyAlignment="1">
      <alignment horizontal="right"/>
    </xf>
    <xf numFmtId="0" fontId="22" fillId="3" borderId="16" xfId="0" applyFont="1" applyFill="1" applyBorder="1"/>
    <xf numFmtId="0" fontId="20" fillId="3" borderId="16" xfId="0" applyFont="1" applyFill="1" applyBorder="1"/>
    <xf numFmtId="43" fontId="24" fillId="3" borderId="25" xfId="1" applyFont="1" applyFill="1" applyBorder="1" applyAlignment="1">
      <alignment horizontal="right"/>
    </xf>
    <xf numFmtId="43" fontId="24" fillId="3" borderId="23" xfId="1" applyFont="1" applyFill="1" applyBorder="1" applyAlignment="1">
      <alignment horizontal="right"/>
    </xf>
    <xf numFmtId="43" fontId="24" fillId="3" borderId="24" xfId="1" applyFont="1" applyFill="1" applyBorder="1" applyAlignment="1">
      <alignment horizontal="right"/>
    </xf>
    <xf numFmtId="43" fontId="24" fillId="3" borderId="0" xfId="1" applyFont="1" applyFill="1" applyBorder="1" applyAlignment="1">
      <alignment horizontal="right"/>
    </xf>
    <xf numFmtId="0" fontId="20" fillId="3" borderId="26" xfId="0" applyFont="1" applyFill="1" applyBorder="1"/>
    <xf numFmtId="164" fontId="24" fillId="3" borderId="19" xfId="3" applyNumberFormat="1" applyFont="1" applyFill="1" applyBorder="1" applyAlignment="1">
      <alignment horizontal="right"/>
    </xf>
    <xf numFmtId="164" fontId="24" fillId="3" borderId="20" xfId="3" applyNumberFormat="1" applyFont="1" applyFill="1" applyBorder="1" applyAlignment="1">
      <alignment horizontal="right"/>
    </xf>
    <xf numFmtId="164" fontId="24" fillId="3" borderId="26" xfId="3" applyNumberFormat="1" applyFont="1" applyFill="1" applyBorder="1" applyAlignment="1">
      <alignment horizontal="right"/>
    </xf>
    <xf numFmtId="164" fontId="24" fillId="3" borderId="23" xfId="3" applyNumberFormat="1" applyFont="1" applyFill="1" applyBorder="1" applyAlignment="1">
      <alignment horizontal="right"/>
    </xf>
    <xf numFmtId="164" fontId="24" fillId="3" borderId="24" xfId="3" applyNumberFormat="1" applyFont="1" applyFill="1" applyBorder="1" applyAlignment="1">
      <alignment horizontal="right"/>
    </xf>
    <xf numFmtId="164" fontId="24" fillId="3" borderId="0" xfId="3" applyNumberFormat="1" applyFont="1" applyFill="1" applyBorder="1" applyAlignment="1">
      <alignment horizontal="right"/>
    </xf>
    <xf numFmtId="0" fontId="20" fillId="5" borderId="26" xfId="0" applyFont="1" applyFill="1" applyBorder="1"/>
    <xf numFmtId="169" fontId="24" fillId="5" borderId="19" xfId="2" applyNumberFormat="1" applyFont="1" applyFill="1" applyBorder="1" applyAlignment="1">
      <alignment horizontal="right"/>
    </xf>
    <xf numFmtId="0" fontId="20" fillId="5" borderId="0" xfId="0" applyFont="1" applyFill="1" applyBorder="1"/>
    <xf numFmtId="169" fontId="24" fillId="5" borderId="23" xfId="2" applyNumberFormat="1" applyFont="1" applyFill="1" applyBorder="1" applyAlignment="1">
      <alignment horizontal="right"/>
    </xf>
    <xf numFmtId="0" fontId="20" fillId="5" borderId="16" xfId="0" applyFont="1" applyFill="1" applyBorder="1"/>
    <xf numFmtId="169" fontId="24" fillId="5" borderId="25" xfId="2" applyNumberFormat="1" applyFont="1" applyFill="1" applyBorder="1" applyAlignment="1">
      <alignment horizontal="right"/>
    </xf>
    <xf numFmtId="164" fontId="24" fillId="3" borderId="25" xfId="3" applyNumberFormat="1" applyFont="1" applyFill="1" applyBorder="1" applyAlignment="1">
      <alignment horizontal="right"/>
    </xf>
    <xf numFmtId="44" fontId="24" fillId="3" borderId="19" xfId="2" applyFont="1" applyFill="1" applyBorder="1" applyAlignment="1">
      <alignment horizontal="right"/>
    </xf>
    <xf numFmtId="0" fontId="16" fillId="3" borderId="13" xfId="0" applyFont="1" applyFill="1" applyBorder="1"/>
    <xf numFmtId="0" fontId="6" fillId="2" borderId="0" xfId="0" applyFont="1" applyFill="1"/>
    <xf numFmtId="0" fontId="6" fillId="3" borderId="27" xfId="0" applyFont="1" applyFill="1" applyBorder="1"/>
    <xf numFmtId="0" fontId="0" fillId="3" borderId="5" xfId="0" applyFill="1" applyBorder="1"/>
    <xf numFmtId="0" fontId="4" fillId="3" borderId="19" xfId="0" applyFont="1" applyFill="1" applyBorder="1"/>
    <xf numFmtId="0" fontId="0" fillId="3" borderId="26" xfId="0" applyFill="1" applyBorder="1" applyAlignment="1">
      <alignment horizontal="right"/>
    </xf>
    <xf numFmtId="2" fontId="4" fillId="3" borderId="26" xfId="0" applyNumberFormat="1" applyFont="1" applyFill="1" applyBorder="1" applyProtection="1">
      <protection locked="0"/>
    </xf>
    <xf numFmtId="0" fontId="0" fillId="3" borderId="26" xfId="0" applyFill="1" applyBorder="1"/>
    <xf numFmtId="3" fontId="10" fillId="5" borderId="19" xfId="0" applyNumberFormat="1" applyFont="1" applyFill="1" applyBorder="1"/>
    <xf numFmtId="0" fontId="0" fillId="5" borderId="28" xfId="0" applyFill="1" applyBorder="1"/>
    <xf numFmtId="0" fontId="0" fillId="5" borderId="4" xfId="0" applyFill="1" applyBorder="1"/>
    <xf numFmtId="0" fontId="0" fillId="5" borderId="5" xfId="0" applyFill="1" applyBorder="1"/>
    <xf numFmtId="0" fontId="0" fillId="5" borderId="6" xfId="0" applyFill="1" applyBorder="1"/>
    <xf numFmtId="0" fontId="4" fillId="3" borderId="23" xfId="0" applyFont="1" applyFill="1" applyBorder="1"/>
    <xf numFmtId="0" fontId="0" fillId="3" borderId="0" xfId="0" applyFill="1" applyBorder="1"/>
    <xf numFmtId="0" fontId="4" fillId="3" borderId="0" xfId="0" applyFont="1" applyFill="1" applyBorder="1" applyProtection="1">
      <protection locked="0"/>
    </xf>
    <xf numFmtId="0" fontId="10" fillId="5" borderId="23" xfId="0" applyFont="1" applyFill="1" applyBorder="1"/>
    <xf numFmtId="0" fontId="0" fillId="5" borderId="29" xfId="0" applyFill="1" applyBorder="1"/>
    <xf numFmtId="0" fontId="0" fillId="5" borderId="7" xfId="0" applyFill="1" applyBorder="1" applyAlignment="1">
      <alignment horizontal="center"/>
    </xf>
    <xf numFmtId="0" fontId="0" fillId="5" borderId="16" xfId="0" applyFill="1" applyBorder="1" applyAlignment="1">
      <alignment horizontal="right"/>
    </xf>
    <xf numFmtId="167" fontId="10" fillId="5" borderId="16" xfId="0" applyNumberFormat="1" applyFont="1" applyFill="1" applyBorder="1"/>
    <xf numFmtId="0" fontId="0" fillId="5" borderId="16" xfId="0" applyFill="1" applyBorder="1"/>
    <xf numFmtId="0" fontId="0" fillId="5" borderId="8" xfId="0" applyFill="1" applyBorder="1"/>
    <xf numFmtId="3" fontId="10" fillId="5" borderId="23" xfId="0" applyNumberFormat="1" applyFont="1" applyFill="1" applyBorder="1"/>
    <xf numFmtId="0" fontId="0" fillId="5" borderId="0" xfId="0" applyFill="1" applyBorder="1" applyAlignment="1">
      <alignment horizontal="right"/>
    </xf>
    <xf numFmtId="168" fontId="10" fillId="5" borderId="0" xfId="0" applyNumberFormat="1" applyFont="1" applyFill="1" applyBorder="1"/>
    <xf numFmtId="0" fontId="0" fillId="5" borderId="0" xfId="0" applyFill="1" applyBorder="1"/>
    <xf numFmtId="0" fontId="0" fillId="5" borderId="7" xfId="0" applyFill="1" applyBorder="1"/>
    <xf numFmtId="0" fontId="4" fillId="0" borderId="0" xfId="0" applyFont="1" applyFill="1" applyBorder="1" applyProtection="1">
      <protection locked="0"/>
    </xf>
    <xf numFmtId="0" fontId="0" fillId="2" borderId="0" xfId="0" applyFill="1" applyBorder="1" applyAlignment="1">
      <alignment horizontal="center"/>
    </xf>
    <xf numFmtId="0" fontId="4" fillId="3" borderId="0" xfId="0" applyFont="1" applyFill="1" applyBorder="1"/>
    <xf numFmtId="3" fontId="4" fillId="0" borderId="0" xfId="0" applyNumberFormat="1" applyFont="1" applyFill="1" applyBorder="1" applyProtection="1">
      <protection locked="0"/>
    </xf>
    <xf numFmtId="3" fontId="4" fillId="3" borderId="0" xfId="0" applyNumberFormat="1" applyFont="1" applyFill="1" applyBorder="1" applyProtection="1">
      <protection locked="0"/>
    </xf>
    <xf numFmtId="0" fontId="0" fillId="5" borderId="13" xfId="0" applyFill="1" applyBorder="1"/>
    <xf numFmtId="0" fontId="0" fillId="5" borderId="14" xfId="0" applyFill="1" applyBorder="1"/>
    <xf numFmtId="168" fontId="0" fillId="5" borderId="14" xfId="0" applyNumberFormat="1" applyFill="1" applyBorder="1"/>
    <xf numFmtId="0" fontId="0" fillId="5" borderId="15" xfId="0" applyFill="1" applyBorder="1"/>
    <xf numFmtId="2" fontId="0" fillId="2" borderId="0" xfId="0" applyNumberFormat="1" applyFill="1"/>
    <xf numFmtId="168" fontId="0" fillId="2" borderId="0" xfId="0" applyNumberFormat="1" applyFill="1"/>
    <xf numFmtId="0" fontId="0" fillId="2" borderId="0" xfId="0" applyFill="1" applyBorder="1"/>
    <xf numFmtId="0" fontId="25" fillId="3" borderId="0" xfId="0" applyFont="1" applyFill="1" applyBorder="1"/>
    <xf numFmtId="0" fontId="0" fillId="3" borderId="23" xfId="0" applyFill="1" applyBorder="1"/>
    <xf numFmtId="168" fontId="0" fillId="5" borderId="5" xfId="0" applyNumberFormat="1" applyFill="1" applyBorder="1"/>
    <xf numFmtId="0" fontId="25" fillId="5" borderId="29" xfId="0" applyFont="1" applyFill="1" applyBorder="1"/>
    <xf numFmtId="0" fontId="4" fillId="3" borderId="25" xfId="0" applyFont="1" applyFill="1" applyBorder="1"/>
    <xf numFmtId="0" fontId="0" fillId="3" borderId="16" xfId="0" applyFill="1" applyBorder="1" applyAlignment="1">
      <alignment horizontal="right"/>
    </xf>
    <xf numFmtId="0" fontId="4" fillId="0" borderId="16" xfId="0" applyFont="1" applyFill="1" applyBorder="1" applyProtection="1">
      <protection locked="0"/>
    </xf>
    <xf numFmtId="0" fontId="4" fillId="3" borderId="16" xfId="0" applyFont="1" applyFill="1" applyBorder="1" applyProtection="1">
      <protection locked="0"/>
    </xf>
    <xf numFmtId="0" fontId="0" fillId="3" borderId="16" xfId="0" applyFill="1" applyBorder="1"/>
    <xf numFmtId="0" fontId="25" fillId="5" borderId="30" xfId="0" applyFont="1" applyFill="1" applyBorder="1"/>
    <xf numFmtId="0" fontId="4" fillId="3" borderId="8" xfId="0" applyFont="1" applyFill="1" applyBorder="1"/>
    <xf numFmtId="0" fontId="0" fillId="3" borderId="7" xfId="0" applyFill="1" applyBorder="1" applyAlignment="1">
      <alignment vertical="center" textRotation="90" wrapText="1"/>
    </xf>
    <xf numFmtId="164" fontId="4" fillId="3" borderId="26" xfId="3" applyNumberFormat="1" applyFont="1" applyFill="1" applyBorder="1" applyProtection="1">
      <protection locked="0"/>
    </xf>
    <xf numFmtId="0" fontId="26" fillId="5" borderId="19" xfId="0" applyFont="1" applyFill="1" applyBorder="1"/>
    <xf numFmtId="0" fontId="26" fillId="5" borderId="23" xfId="0" applyFont="1" applyFill="1" applyBorder="1"/>
    <xf numFmtId="164" fontId="4" fillId="3" borderId="16" xfId="3" applyNumberFormat="1" applyFont="1" applyFill="1" applyBorder="1" applyProtection="1">
      <protection locked="0"/>
    </xf>
    <xf numFmtId="0" fontId="26" fillId="5" borderId="25" xfId="0" applyFont="1" applyFill="1" applyBorder="1"/>
    <xf numFmtId="0" fontId="0" fillId="5" borderId="30" xfId="0" applyFill="1" applyBorder="1"/>
    <xf numFmtId="0" fontId="0" fillId="3" borderId="7" xfId="0" applyFill="1" applyBorder="1" applyAlignment="1"/>
    <xf numFmtId="0" fontId="4" fillId="0" borderId="31" xfId="0" applyFont="1" applyFill="1" applyBorder="1" applyProtection="1">
      <protection locked="0"/>
    </xf>
    <xf numFmtId="0" fontId="4" fillId="3" borderId="26" xfId="0" applyFont="1" applyFill="1" applyBorder="1" applyProtection="1">
      <protection locked="0"/>
    </xf>
    <xf numFmtId="0" fontId="0" fillId="3" borderId="0" xfId="0" applyFill="1" applyBorder="1" applyAlignment="1">
      <alignment horizontal="right"/>
    </xf>
    <xf numFmtId="2" fontId="4" fillId="0" borderId="16" xfId="0" applyNumberFormat="1" applyFont="1" applyFill="1" applyBorder="1" applyProtection="1">
      <protection locked="0"/>
    </xf>
    <xf numFmtId="2" fontId="4" fillId="3" borderId="0" xfId="0" applyNumberFormat="1" applyFont="1" applyFill="1" applyBorder="1" applyProtection="1">
      <protection locked="0"/>
    </xf>
    <xf numFmtId="2" fontId="26" fillId="5" borderId="25" xfId="0" applyNumberFormat="1" applyFont="1" applyFill="1" applyBorder="1"/>
    <xf numFmtId="0" fontId="0" fillId="3" borderId="13" xfId="0" applyFill="1" applyBorder="1" applyAlignment="1"/>
    <xf numFmtId="0" fontId="4" fillId="3" borderId="14" xfId="0" applyFont="1" applyFill="1" applyBorder="1"/>
    <xf numFmtId="0" fontId="4" fillId="3" borderId="14" xfId="0" applyFont="1" applyFill="1" applyBorder="1" applyProtection="1">
      <protection locked="0"/>
    </xf>
    <xf numFmtId="0" fontId="12" fillId="5" borderId="0" xfId="0" applyFont="1" applyFill="1" applyBorder="1" applyAlignment="1">
      <alignment horizontal="right" wrapText="1"/>
    </xf>
    <xf numFmtId="0" fontId="12" fillId="5" borderId="0" xfId="0" quotePrefix="1" applyFont="1" applyFill="1" applyBorder="1" applyAlignment="1">
      <alignment horizontal="center" vertical="center" wrapText="1"/>
    </xf>
    <xf numFmtId="0" fontId="12" fillId="5" borderId="0" xfId="0" applyFont="1" applyFill="1" applyBorder="1" applyAlignment="1">
      <alignment horizontal="center" wrapText="1"/>
    </xf>
    <xf numFmtId="0" fontId="12" fillId="5" borderId="0" xfId="0" applyFont="1" applyFill="1" applyBorder="1" applyAlignment="1">
      <alignment horizontal="right"/>
    </xf>
    <xf numFmtId="171" fontId="27" fillId="5" borderId="0" xfId="0" applyNumberFormat="1" applyFont="1" applyFill="1" applyBorder="1"/>
    <xf numFmtId="171" fontId="27" fillId="5" borderId="0" xfId="1" applyNumberFormat="1" applyFont="1" applyFill="1" applyBorder="1" applyAlignment="1">
      <alignment horizontal="center"/>
    </xf>
    <xf numFmtId="171" fontId="27" fillId="5" borderId="0" xfId="0" applyNumberFormat="1" applyFont="1" applyFill="1" applyBorder="1" applyAlignment="1">
      <alignment horizontal="center"/>
    </xf>
    <xf numFmtId="0" fontId="0" fillId="5" borderId="0" xfId="0" applyFill="1" applyBorder="1" applyAlignment="1">
      <alignment horizontal="center"/>
    </xf>
    <xf numFmtId="170" fontId="27" fillId="5" borderId="0" xfId="0" applyNumberFormat="1" applyFont="1" applyFill="1" applyBorder="1"/>
    <xf numFmtId="170" fontId="27" fillId="5" borderId="0" xfId="1" applyNumberFormat="1" applyFont="1" applyFill="1" applyBorder="1" applyAlignment="1">
      <alignment horizontal="center"/>
    </xf>
    <xf numFmtId="170" fontId="27" fillId="5" borderId="0" xfId="0" applyNumberFormat="1" applyFont="1" applyFill="1" applyBorder="1" applyAlignment="1">
      <alignment horizontal="center"/>
    </xf>
    <xf numFmtId="0" fontId="0" fillId="3" borderId="4" xfId="0" applyFill="1" applyBorder="1"/>
    <xf numFmtId="168" fontId="10" fillId="5" borderId="16" xfId="0" applyNumberFormat="1" applyFont="1" applyFill="1" applyBorder="1"/>
    <xf numFmtId="0" fontId="0" fillId="3" borderId="7" xfId="0" applyFill="1" applyBorder="1"/>
    <xf numFmtId="0" fontId="0" fillId="3" borderId="8" xfId="0" applyFill="1" applyBorder="1" applyAlignment="1">
      <alignment horizontal="center"/>
    </xf>
    <xf numFmtId="2" fontId="10" fillId="0" borderId="16" xfId="0" applyNumberFormat="1" applyFont="1" applyFill="1" applyBorder="1" applyProtection="1">
      <protection locked="0"/>
    </xf>
    <xf numFmtId="0" fontId="10" fillId="3" borderId="0" xfId="0" applyFont="1" applyFill="1" applyBorder="1" applyProtection="1">
      <protection locked="0"/>
    </xf>
    <xf numFmtId="0" fontId="10" fillId="0" borderId="16" xfId="0" applyFont="1" applyFill="1" applyBorder="1" applyProtection="1">
      <protection locked="0"/>
    </xf>
    <xf numFmtId="164" fontId="10" fillId="0" borderId="16" xfId="3" applyNumberFormat="1" applyFont="1" applyFill="1" applyBorder="1" applyProtection="1">
      <protection locked="0"/>
    </xf>
    <xf numFmtId="0" fontId="28" fillId="3" borderId="7" xfId="0" applyFont="1" applyFill="1" applyBorder="1"/>
    <xf numFmtId="0" fontId="28" fillId="3" borderId="7" xfId="0" applyFont="1" applyFill="1" applyBorder="1" applyAlignment="1">
      <alignment horizontal="right"/>
    </xf>
    <xf numFmtId="0" fontId="0" fillId="3" borderId="7" xfId="0" applyFill="1" applyBorder="1" applyAlignment="1">
      <alignment horizontal="right"/>
    </xf>
    <xf numFmtId="0" fontId="0" fillId="3" borderId="32" xfId="0" applyFill="1" applyBorder="1"/>
    <xf numFmtId="0" fontId="0" fillId="3" borderId="11" xfId="0" applyFill="1" applyBorder="1"/>
    <xf numFmtId="0" fontId="0" fillId="3" borderId="33" xfId="0" applyFill="1" applyBorder="1"/>
    <xf numFmtId="0" fontId="0" fillId="3" borderId="34" xfId="0" applyFill="1" applyBorder="1"/>
    <xf numFmtId="0" fontId="0" fillId="3" borderId="35" xfId="0" applyFill="1" applyBorder="1"/>
    <xf numFmtId="0" fontId="29" fillId="3" borderId="0" xfId="0" applyFont="1" applyFill="1" applyBorder="1" applyAlignment="1">
      <alignment horizontal="center"/>
    </xf>
    <xf numFmtId="0" fontId="30" fillId="3" borderId="0" xfId="0" applyFont="1" applyFill="1" applyBorder="1" applyAlignment="1">
      <alignment horizontal="center"/>
    </xf>
    <xf numFmtId="0" fontId="31" fillId="3" borderId="0" xfId="0" applyFont="1" applyFill="1" applyBorder="1" applyAlignment="1">
      <alignment horizontal="center"/>
    </xf>
    <xf numFmtId="0" fontId="18" fillId="3" borderId="0" xfId="0" applyFont="1" applyFill="1" applyBorder="1" applyAlignment="1">
      <alignment horizontal="center"/>
    </xf>
    <xf numFmtId="0" fontId="0" fillId="3" borderId="36" xfId="0" applyFill="1" applyBorder="1"/>
    <xf numFmtId="0" fontId="0" fillId="3" borderId="10" xfId="0" applyFill="1" applyBorder="1"/>
    <xf numFmtId="0" fontId="0" fillId="3" borderId="37" xfId="0" applyFill="1" applyBorder="1"/>
    <xf numFmtId="0" fontId="0" fillId="0" borderId="0" xfId="0" applyAlignment="1">
      <alignment horizontal="center"/>
    </xf>
    <xf numFmtId="0" fontId="0" fillId="0" borderId="0" xfId="0" applyAlignment="1">
      <alignment wrapText="1"/>
    </xf>
    <xf numFmtId="0" fontId="0" fillId="0" borderId="16" xfId="0" applyBorder="1" applyAlignment="1">
      <alignment wrapText="1"/>
    </xf>
    <xf numFmtId="0" fontId="0" fillId="0" borderId="16" xfId="0" applyBorder="1" applyAlignment="1">
      <alignment horizontal="center" wrapText="1"/>
    </xf>
    <xf numFmtId="1" fontId="0" fillId="0" borderId="0" xfId="0" applyNumberFormat="1"/>
    <xf numFmtId="2" fontId="0" fillId="0" borderId="0" xfId="0" applyNumberFormat="1"/>
    <xf numFmtId="164" fontId="1" fillId="0" borderId="0" xfId="3" applyNumberFormat="1"/>
    <xf numFmtId="165" fontId="1" fillId="0" borderId="0" xfId="2" applyNumberFormat="1"/>
    <xf numFmtId="164" fontId="1" fillId="0" borderId="0" xfId="3" applyNumberFormat="1" applyFont="1"/>
    <xf numFmtId="10" fontId="0" fillId="0" borderId="0" xfId="0" applyNumberFormat="1"/>
    <xf numFmtId="1" fontId="4" fillId="6" borderId="26" xfId="0" applyNumberFormat="1" applyFont="1" applyFill="1" applyBorder="1" applyProtection="1">
      <protection locked="0"/>
    </xf>
    <xf numFmtId="0" fontId="4" fillId="5" borderId="7" xfId="0" applyFont="1" applyFill="1" applyBorder="1" applyAlignment="1">
      <alignment horizontal="center"/>
    </xf>
    <xf numFmtId="0" fontId="4" fillId="5" borderId="0" xfId="0" applyFont="1" applyFill="1" applyBorder="1" applyAlignment="1">
      <alignment horizontal="left"/>
    </xf>
    <xf numFmtId="2" fontId="10" fillId="0" borderId="20" xfId="0" applyNumberFormat="1" applyFont="1" applyFill="1" applyBorder="1" applyAlignment="1" applyProtection="1">
      <alignment horizontal="center"/>
      <protection locked="0"/>
    </xf>
    <xf numFmtId="0" fontId="10" fillId="0" borderId="24" xfId="0" applyFont="1" applyFill="1" applyBorder="1" applyAlignment="1" applyProtection="1">
      <alignment horizontal="center"/>
      <protection locked="0"/>
    </xf>
    <xf numFmtId="0" fontId="10" fillId="0" borderId="38" xfId="0" applyFont="1" applyFill="1" applyBorder="1" applyAlignment="1" applyProtection="1">
      <alignment horizontal="center"/>
      <protection locked="0"/>
    </xf>
    <xf numFmtId="0" fontId="16" fillId="2" borderId="0" xfId="0" applyFont="1" applyFill="1"/>
    <xf numFmtId="2" fontId="32" fillId="7" borderId="20" xfId="0" applyNumberFormat="1" applyFont="1" applyFill="1" applyBorder="1" applyAlignment="1" applyProtection="1">
      <alignment horizontal="center"/>
      <protection locked="0"/>
    </xf>
    <xf numFmtId="0" fontId="32" fillId="7" borderId="24" xfId="0" applyFont="1" applyFill="1" applyBorder="1" applyAlignment="1" applyProtection="1">
      <alignment horizontal="center"/>
      <protection locked="0"/>
    </xf>
    <xf numFmtId="0" fontId="32" fillId="7" borderId="38" xfId="0" applyFont="1" applyFill="1" applyBorder="1" applyAlignment="1" applyProtection="1">
      <alignment horizontal="center"/>
      <protection locked="0"/>
    </xf>
    <xf numFmtId="164" fontId="4" fillId="0" borderId="0" xfId="3" applyNumberFormat="1" applyFont="1" applyFill="1" applyBorder="1" applyProtection="1">
      <protection locked="0"/>
    </xf>
    <xf numFmtId="164" fontId="4" fillId="3" borderId="0" xfId="3" applyNumberFormat="1" applyFont="1" applyFill="1" applyBorder="1" applyProtection="1">
      <protection locked="0"/>
    </xf>
    <xf numFmtId="166" fontId="4" fillId="0" borderId="0" xfId="1" applyNumberFormat="1" applyFont="1" applyFill="1" applyBorder="1" applyProtection="1">
      <protection locked="0"/>
    </xf>
    <xf numFmtId="166" fontId="10" fillId="5" borderId="23" xfId="1" applyNumberFormat="1" applyFont="1" applyFill="1" applyBorder="1"/>
    <xf numFmtId="43" fontId="12" fillId="5" borderId="0" xfId="1" quotePrefix="1" applyFont="1" applyFill="1" applyBorder="1" applyAlignment="1">
      <alignment horizontal="center"/>
    </xf>
    <xf numFmtId="170" fontId="12" fillId="5" borderId="0" xfId="1" quotePrefix="1" applyNumberFormat="1" applyFont="1" applyFill="1" applyBorder="1" applyAlignment="1">
      <alignment horizontal="center"/>
    </xf>
    <xf numFmtId="0" fontId="33" fillId="3" borderId="0" xfId="0" applyFont="1" applyFill="1" applyBorder="1" applyAlignment="1" applyProtection="1">
      <alignment horizontal="center"/>
      <protection locked="0"/>
    </xf>
    <xf numFmtId="171" fontId="12" fillId="5" borderId="0" xfId="0" quotePrefix="1" applyNumberFormat="1" applyFont="1" applyFill="1" applyBorder="1" applyAlignment="1">
      <alignment horizontal="center"/>
    </xf>
    <xf numFmtId="171" fontId="12" fillId="5" borderId="0" xfId="0" applyNumberFormat="1" applyFont="1" applyFill="1" applyBorder="1" applyAlignment="1">
      <alignment horizontal="center"/>
    </xf>
    <xf numFmtId="0" fontId="1" fillId="5" borderId="0" xfId="0" applyFont="1" applyFill="1" applyBorder="1" applyAlignment="1">
      <alignment horizontal="center"/>
    </xf>
    <xf numFmtId="170" fontId="12" fillId="5" borderId="0" xfId="0" quotePrefix="1" applyNumberFormat="1" applyFont="1" applyFill="1" applyBorder="1" applyAlignment="1">
      <alignment horizontal="center"/>
    </xf>
    <xf numFmtId="0" fontId="12" fillId="5" borderId="0" xfId="0" quotePrefix="1" applyFont="1" applyFill="1" applyBorder="1" applyAlignment="1">
      <alignment horizontal="center" vertical="center"/>
    </xf>
    <xf numFmtId="0" fontId="1" fillId="5" borderId="29" xfId="0" applyFont="1" applyFill="1" applyBorder="1"/>
    <xf numFmtId="42" fontId="10" fillId="5" borderId="23" xfId="1" applyNumberFormat="1" applyFont="1" applyFill="1" applyBorder="1"/>
    <xf numFmtId="172" fontId="10" fillId="5" borderId="23" xfId="1" applyNumberFormat="1" applyFont="1" applyFill="1" applyBorder="1"/>
    <xf numFmtId="0" fontId="4" fillId="3" borderId="26" xfId="0" applyFont="1" applyFill="1" applyBorder="1"/>
    <xf numFmtId="0" fontId="4" fillId="3" borderId="16" xfId="0" applyFont="1" applyFill="1" applyBorder="1"/>
    <xf numFmtId="172" fontId="10" fillId="5" borderId="25" xfId="1" applyNumberFormat="1" applyFont="1" applyFill="1" applyBorder="1"/>
    <xf numFmtId="0" fontId="26" fillId="3" borderId="0" xfId="0" applyFont="1" applyFill="1" applyBorder="1"/>
    <xf numFmtId="167" fontId="10" fillId="5" borderId="16" xfId="0" applyNumberFormat="1" applyFont="1" applyFill="1" applyBorder="1" applyAlignment="1">
      <alignment horizontal="right"/>
    </xf>
    <xf numFmtId="0" fontId="18" fillId="5" borderId="0" xfId="0" applyFont="1" applyFill="1" applyBorder="1"/>
    <xf numFmtId="169" fontId="35" fillId="5" borderId="0" xfId="2" applyNumberFormat="1" applyFont="1" applyFill="1" applyBorder="1" applyAlignment="1"/>
    <xf numFmtId="169" fontId="35" fillId="5" borderId="8" xfId="2" applyNumberFormat="1" applyFont="1" applyFill="1" applyBorder="1" applyAlignment="1"/>
    <xf numFmtId="0" fontId="1" fillId="0" borderId="0" xfId="4"/>
    <xf numFmtId="0" fontId="1" fillId="0" borderId="0" xfId="4" applyNumberFormat="1" applyFont="1" applyFill="1" applyBorder="1" applyAlignment="1" applyProtection="1">
      <protection locked="0"/>
    </xf>
    <xf numFmtId="4" fontId="1" fillId="0" borderId="0" xfId="4" applyNumberFormat="1" applyFont="1" applyFill="1" applyBorder="1" applyAlignment="1" applyProtection="1">
      <protection locked="0"/>
    </xf>
    <xf numFmtId="0" fontId="36" fillId="0" borderId="0" xfId="4" applyNumberFormat="1" applyFont="1" applyFill="1" applyBorder="1" applyAlignment="1" applyProtection="1">
      <protection locked="0"/>
    </xf>
    <xf numFmtId="0" fontId="37" fillId="3" borderId="0" xfId="0" applyFont="1" applyFill="1" applyBorder="1"/>
    <xf numFmtId="0" fontId="37" fillId="3" borderId="0" xfId="0" applyFont="1" applyFill="1" applyBorder="1" applyAlignment="1">
      <alignment horizontal="right"/>
    </xf>
    <xf numFmtId="0" fontId="1" fillId="8" borderId="0" xfId="0" applyFont="1" applyFill="1"/>
    <xf numFmtId="0" fontId="0" fillId="8" borderId="0" xfId="0" applyFill="1"/>
    <xf numFmtId="0" fontId="1" fillId="3" borderId="0" xfId="0" applyFont="1" applyFill="1" applyBorder="1" applyAlignment="1">
      <alignment horizontal="center"/>
    </xf>
    <xf numFmtId="0" fontId="10" fillId="0" borderId="16" xfId="0" applyFont="1" applyFill="1" applyBorder="1" applyAlignment="1" applyProtection="1">
      <alignment horizontal="center"/>
      <protection locked="0"/>
    </xf>
    <xf numFmtId="169" fontId="35" fillId="5" borderId="0" xfId="2" applyNumberFormat="1" applyFont="1" applyFill="1" applyBorder="1" applyAlignment="1">
      <alignment horizontal="center"/>
    </xf>
    <xf numFmtId="169" fontId="35" fillId="5" borderId="8" xfId="2" applyNumberFormat="1" applyFont="1" applyFill="1" applyBorder="1" applyAlignment="1">
      <alignment horizontal="center"/>
    </xf>
    <xf numFmtId="0" fontId="0" fillId="3" borderId="43" xfId="0" applyFill="1" applyBorder="1" applyAlignment="1">
      <alignment horizontal="center" vertical="center" textRotation="90" wrapText="1"/>
    </xf>
    <xf numFmtId="0" fontId="0" fillId="3" borderId="7" xfId="0" applyFill="1" applyBorder="1" applyAlignment="1">
      <alignment horizontal="center" vertical="center" textRotation="90" wrapText="1"/>
    </xf>
    <xf numFmtId="0" fontId="0" fillId="3" borderId="39" xfId="0" applyFill="1" applyBorder="1" applyAlignment="1">
      <alignment horizontal="center" vertical="center" textRotation="90" wrapText="1"/>
    </xf>
    <xf numFmtId="0" fontId="4" fillId="3" borderId="5" xfId="0" applyFont="1" applyFill="1" applyBorder="1" applyAlignment="1">
      <alignment horizontal="center"/>
    </xf>
    <xf numFmtId="0" fontId="0" fillId="3" borderId="40" xfId="0" applyFill="1" applyBorder="1" applyAlignment="1">
      <alignment horizontal="center" vertical="center" textRotation="90" wrapText="1"/>
    </xf>
    <xf numFmtId="0" fontId="0" fillId="3" borderId="41" xfId="0" applyFill="1" applyBorder="1" applyAlignment="1">
      <alignment horizontal="center" vertical="center" textRotation="90" wrapText="1"/>
    </xf>
    <xf numFmtId="0" fontId="0" fillId="3" borderId="42" xfId="0" applyFill="1" applyBorder="1" applyAlignment="1">
      <alignment horizontal="center" vertical="center" textRotation="90" wrapText="1"/>
    </xf>
    <xf numFmtId="0" fontId="34" fillId="5" borderId="23" xfId="0" applyFont="1" applyFill="1" applyBorder="1" applyAlignment="1">
      <alignment horizontal="center" wrapText="1"/>
    </xf>
    <xf numFmtId="0" fontId="34" fillId="5" borderId="29" xfId="0" applyFont="1" applyFill="1" applyBorder="1" applyAlignment="1">
      <alignment horizontal="center" wrapText="1"/>
    </xf>
    <xf numFmtId="171" fontId="33" fillId="5" borderId="23" xfId="0" applyNumberFormat="1" applyFont="1" applyFill="1" applyBorder="1" applyAlignment="1">
      <alignment horizontal="center"/>
    </xf>
    <xf numFmtId="171" fontId="33" fillId="5" borderId="29" xfId="0" applyNumberFormat="1" applyFont="1" applyFill="1" applyBorder="1" applyAlignment="1">
      <alignment horizontal="center"/>
    </xf>
    <xf numFmtId="0" fontId="0" fillId="0" borderId="0" xfId="0" applyAlignment="1">
      <alignment horizontal="center"/>
    </xf>
    <xf numFmtId="0" fontId="18" fillId="3" borderId="31" xfId="0" applyFont="1" applyFill="1" applyBorder="1" applyAlignment="1">
      <alignment horizontal="center" wrapText="1"/>
    </xf>
    <xf numFmtId="0" fontId="20" fillId="3" borderId="26" xfId="0" applyFont="1" applyFill="1" applyBorder="1" applyAlignment="1">
      <alignment horizontal="center" vertical="center" textRotation="90" wrapText="1"/>
    </xf>
    <xf numFmtId="0" fontId="20" fillId="3" borderId="0" xfId="0" applyFont="1" applyFill="1" applyBorder="1" applyAlignment="1">
      <alignment horizontal="center" vertical="center" textRotation="90" wrapText="1"/>
    </xf>
    <xf numFmtId="0" fontId="20" fillId="3" borderId="16" xfId="0" applyFont="1" applyFill="1" applyBorder="1" applyAlignment="1">
      <alignment horizontal="center" vertical="center" textRotation="90" wrapText="1"/>
    </xf>
    <xf numFmtId="0" fontId="19" fillId="3" borderId="0" xfId="0" applyFont="1" applyFill="1" applyBorder="1"/>
    <xf numFmtId="0" fontId="19" fillId="3" borderId="16" xfId="0" applyFont="1" applyFill="1" applyBorder="1"/>
    <xf numFmtId="0" fontId="20" fillId="5" borderId="26" xfId="0" applyFont="1" applyFill="1" applyBorder="1" applyAlignment="1">
      <alignment horizontal="center" vertical="center" textRotation="90" wrapText="1"/>
    </xf>
    <xf numFmtId="0" fontId="20" fillId="5" borderId="0" xfId="0" applyFont="1" applyFill="1" applyBorder="1" applyAlignment="1">
      <alignment horizontal="center" vertical="center" textRotation="90" wrapText="1"/>
    </xf>
    <xf numFmtId="0" fontId="20" fillId="5" borderId="16" xfId="0" applyFont="1" applyFill="1" applyBorder="1" applyAlignment="1">
      <alignment horizontal="center" vertical="center" textRotation="90" wrapText="1"/>
    </xf>
    <xf numFmtId="0" fontId="12" fillId="5" borderId="7" xfId="0" applyFont="1" applyFill="1" applyBorder="1" applyAlignment="1">
      <alignment horizontal="center" vertical="center" textRotation="90"/>
    </xf>
    <xf numFmtId="0" fontId="12" fillId="5" borderId="13" xfId="0" applyFont="1" applyFill="1" applyBorder="1" applyAlignment="1">
      <alignment horizontal="center" vertical="center" textRotation="90"/>
    </xf>
    <xf numFmtId="0" fontId="12" fillId="5" borderId="39" xfId="0" applyFont="1" applyFill="1" applyBorder="1" applyAlignment="1">
      <alignment horizontal="center" vertical="center" textRotation="90"/>
    </xf>
    <xf numFmtId="0" fontId="12" fillId="5" borderId="43" xfId="0" applyFont="1" applyFill="1" applyBorder="1" applyAlignment="1">
      <alignment horizontal="center" vertical="center" textRotation="90"/>
    </xf>
    <xf numFmtId="0" fontId="12" fillId="5" borderId="44" xfId="0" applyFont="1" applyFill="1" applyBorder="1" applyAlignment="1">
      <alignment horizontal="center" vertical="center" textRotation="90"/>
    </xf>
    <xf numFmtId="43" fontId="11" fillId="5" borderId="8" xfId="1" applyFont="1" applyFill="1" applyBorder="1" applyAlignment="1">
      <alignment horizontal="center" wrapText="1"/>
    </xf>
    <xf numFmtId="43" fontId="11" fillId="5" borderId="45" xfId="1" applyFont="1" applyFill="1" applyBorder="1" applyAlignment="1">
      <alignment horizontal="center" wrapText="1"/>
    </xf>
    <xf numFmtId="43" fontId="10" fillId="5" borderId="0" xfId="1" applyFont="1" applyFill="1" applyBorder="1" applyAlignment="1">
      <alignment horizontal="center" wrapText="1"/>
    </xf>
    <xf numFmtId="43" fontId="10" fillId="5" borderId="10" xfId="1" applyFont="1" applyFill="1" applyBorder="1" applyAlignment="1">
      <alignment horizontal="center" wrapText="1"/>
    </xf>
    <xf numFmtId="0" fontId="38" fillId="8" borderId="0" xfId="0" applyFont="1" applyFill="1" applyAlignment="1">
      <alignment vertical="center"/>
    </xf>
  </cellXfs>
  <cellStyles count="5">
    <cellStyle name="Comma" xfId="1" builtinId="3"/>
    <cellStyle name="Currency" xfId="2" builtinId="4"/>
    <cellStyle name="Normal" xfId="0" builtinId="0"/>
    <cellStyle name="Normal 2" xfId="4"/>
    <cellStyle name="Percent" xfId="3"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3</xdr:row>
      <xdr:rowOff>142875</xdr:rowOff>
    </xdr:from>
    <xdr:to>
      <xdr:col>2</xdr:col>
      <xdr:colOff>6124575</xdr:colOff>
      <xdr:row>11</xdr:row>
      <xdr:rowOff>9525</xdr:rowOff>
    </xdr:to>
    <xdr:pic>
      <xdr:nvPicPr>
        <xdr:cNvPr id="4097" name="Picture 1" descr="Extlog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4450" y="647700"/>
          <a:ext cx="6029325" cy="1162050"/>
        </a:xfrm>
        <a:prstGeom prst="rect">
          <a:avLst/>
        </a:prstGeom>
        <a:noFill/>
        <a:ln w="76200" cmpd="tri">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0</xdr:colOff>
          <xdr:row>32</xdr:row>
          <xdr:rowOff>85725</xdr:rowOff>
        </xdr:from>
        <xdr:to>
          <xdr:col>2</xdr:col>
          <xdr:colOff>6124575</xdr:colOff>
          <xdr:row>32</xdr:row>
          <xdr:rowOff>2251375</xdr:rowOff>
        </xdr:to>
        <xdr:sp macro="" textlink="">
          <xdr:nvSpPr>
            <xdr:cNvPr id="4098" name="Object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19050</xdr:colOff>
      <xdr:row>2</xdr:row>
      <xdr:rowOff>38100</xdr:rowOff>
    </xdr:from>
    <xdr:to>
      <xdr:col>13</xdr:col>
      <xdr:colOff>600075</xdr:colOff>
      <xdr:row>6</xdr:row>
      <xdr:rowOff>28575</xdr:rowOff>
    </xdr:to>
    <xdr:sp macro="" textlink="">
      <xdr:nvSpPr>
        <xdr:cNvPr id="3073" name="Text Box 1"/>
        <xdr:cNvSpPr txBox="1">
          <a:spLocks noChangeArrowheads="1"/>
        </xdr:cNvSpPr>
      </xdr:nvSpPr>
      <xdr:spPr bwMode="auto">
        <a:xfrm>
          <a:off x="1419225" y="371475"/>
          <a:ext cx="7286625" cy="704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This decision aid is to help you calculate the cost for providing selected nutrients to your cow herd.  Purchasing a feedstuff is only part of your costs for making it avaiable; you also must pay to transport and feed it.  In addition to the expenses associated with the hauling and feeding,there is an added cost when some of the feed is lost in these operations.  Paying to haul and feed material that is wasted compounds the costs.</a:t>
          </a:r>
          <a:endParaRPr lang="en-US"/>
        </a:p>
      </xdr:txBody>
    </xdr:sp>
    <xdr:clientData/>
  </xdr:twoCellAnchor>
  <xdr:twoCellAnchor>
    <xdr:from>
      <xdr:col>2</xdr:col>
      <xdr:colOff>0</xdr:colOff>
      <xdr:row>7</xdr:row>
      <xdr:rowOff>19050</xdr:rowOff>
    </xdr:from>
    <xdr:to>
      <xdr:col>14</xdr:col>
      <xdr:colOff>9525</xdr:colOff>
      <xdr:row>10</xdr:row>
      <xdr:rowOff>114300</xdr:rowOff>
    </xdr:to>
    <xdr:sp macro="" textlink="">
      <xdr:nvSpPr>
        <xdr:cNvPr id="3074" name="Text Box 2"/>
        <xdr:cNvSpPr txBox="1">
          <a:spLocks noChangeArrowheads="1"/>
        </xdr:cNvSpPr>
      </xdr:nvSpPr>
      <xdr:spPr bwMode="auto">
        <a:xfrm>
          <a:off x="1400175" y="1304925"/>
          <a:ext cx="7324725" cy="647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The first objective is to compare the effective cost for a specific nutrient from different available feeds.  This cost is calculated by dividing the sum of the costs for purchasing, hauling, storing and feeding a feed by the pounds of nutrient injested by the animal after losses including waste are subtracted.  In this way, the most inexpensive source of a nutrient can be determined after all associated costs and losses have been taken into account.</a:t>
          </a:r>
          <a:endParaRPr lang="en-US"/>
        </a:p>
      </xdr:txBody>
    </xdr:sp>
    <xdr:clientData/>
  </xdr:twoCellAnchor>
  <xdr:twoCellAnchor>
    <xdr:from>
      <xdr:col>2</xdr:col>
      <xdr:colOff>19050</xdr:colOff>
      <xdr:row>12</xdr:row>
      <xdr:rowOff>9525</xdr:rowOff>
    </xdr:from>
    <xdr:to>
      <xdr:col>14</xdr:col>
      <xdr:colOff>9525</xdr:colOff>
      <xdr:row>14</xdr:row>
      <xdr:rowOff>38100</xdr:rowOff>
    </xdr:to>
    <xdr:sp macro="" textlink="">
      <xdr:nvSpPr>
        <xdr:cNvPr id="3075" name="Text Box 3"/>
        <xdr:cNvSpPr txBox="1">
          <a:spLocks noChangeArrowheads="1"/>
        </xdr:cNvSpPr>
      </xdr:nvSpPr>
      <xdr:spPr bwMode="auto">
        <a:xfrm>
          <a:off x="1419225" y="2171700"/>
          <a:ext cx="7305675" cy="419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The second objective is to determine the total quantity and effective cost of feeds needed for a herd of cattle given the fact that some feed is always lost and there is always some cost involved in making it available to livestock.  </a:t>
          </a:r>
          <a:endParaRPr lang="en-US"/>
        </a:p>
      </xdr:txBody>
    </xdr:sp>
    <xdr:clientData/>
  </xdr:twoCellAnchor>
  <xdr:twoCellAnchor>
    <xdr:from>
      <xdr:col>2</xdr:col>
      <xdr:colOff>9525</xdr:colOff>
      <xdr:row>15</xdr:row>
      <xdr:rowOff>0</xdr:rowOff>
    </xdr:from>
    <xdr:to>
      <xdr:col>14</xdr:col>
      <xdr:colOff>9525</xdr:colOff>
      <xdr:row>18</xdr:row>
      <xdr:rowOff>76200</xdr:rowOff>
    </xdr:to>
    <xdr:sp macro="" textlink="">
      <xdr:nvSpPr>
        <xdr:cNvPr id="3076" name="Text Box 4"/>
        <xdr:cNvSpPr txBox="1">
          <a:spLocks noChangeArrowheads="1"/>
        </xdr:cNvSpPr>
      </xdr:nvSpPr>
      <xdr:spPr bwMode="auto">
        <a:xfrm>
          <a:off x="1409700" y="2828925"/>
          <a:ext cx="7315200" cy="628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Enter data for the specific feeds.  The labels on the tabs, F1, F2…F10, stand for feed 1, feed 2, etc.  Data should be entered in the cells having gold backgrounds.  Cost calculations will be displayed in the cells with the magenta colored backgrounds.  No calculations will be displayed until sufficient data is entered.  Enter data for only as many feeds as you want to consider.</a:t>
          </a:r>
          <a:endParaRPr lang="en-US"/>
        </a:p>
      </xdr:txBody>
    </xdr:sp>
    <xdr:clientData/>
  </xdr:twoCellAnchor>
  <xdr:twoCellAnchor>
    <xdr:from>
      <xdr:col>2</xdr:col>
      <xdr:colOff>9525</xdr:colOff>
      <xdr:row>20</xdr:row>
      <xdr:rowOff>0</xdr:rowOff>
    </xdr:from>
    <xdr:to>
      <xdr:col>14</xdr:col>
      <xdr:colOff>9525</xdr:colOff>
      <xdr:row>22</xdr:row>
      <xdr:rowOff>152400</xdr:rowOff>
    </xdr:to>
    <xdr:sp macro="" textlink="">
      <xdr:nvSpPr>
        <xdr:cNvPr id="3077" name="Text Box 5"/>
        <xdr:cNvSpPr txBox="1">
          <a:spLocks noChangeArrowheads="1"/>
        </xdr:cNvSpPr>
      </xdr:nvSpPr>
      <xdr:spPr bwMode="auto">
        <a:xfrm>
          <a:off x="1409700" y="3705225"/>
          <a:ext cx="7315200" cy="5429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The worksheet with the "Per Pound" tab allows for side by side comparisons of the feeds.  All the calculations for each of the feeds is displayed in this worksheet by simply designating the feed number.  The feed number corresponds to the "F" tabs.  For example, entering the number "1" in cell E4 would list the data from the worksheet labeled "F1".</a:t>
          </a:r>
          <a:endParaRPr lang="en-US"/>
        </a:p>
      </xdr:txBody>
    </xdr:sp>
    <xdr:clientData/>
  </xdr:twoCellAnchor>
  <xdr:twoCellAnchor>
    <xdr:from>
      <xdr:col>2</xdr:col>
      <xdr:colOff>9525</xdr:colOff>
      <xdr:row>24</xdr:row>
      <xdr:rowOff>9525</xdr:rowOff>
    </xdr:from>
    <xdr:to>
      <xdr:col>13</xdr:col>
      <xdr:colOff>600075</xdr:colOff>
      <xdr:row>28</xdr:row>
      <xdr:rowOff>133350</xdr:rowOff>
    </xdr:to>
    <xdr:sp macro="" textlink="">
      <xdr:nvSpPr>
        <xdr:cNvPr id="3078" name="Text Box 6"/>
        <xdr:cNvSpPr txBox="1">
          <a:spLocks noChangeArrowheads="1"/>
        </xdr:cNvSpPr>
      </xdr:nvSpPr>
      <xdr:spPr bwMode="auto">
        <a:xfrm>
          <a:off x="1409700" y="4476750"/>
          <a:ext cx="7296150" cy="838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The worksheet with the "Whole Herd" tab allows you to calculate the quantity of feed you need to purchase and its cost.  You enter the feed number in the cells with gold backgrounds, just like in Step 2 above, for up to four feeds, the amount of each feed consumed by an animal each day, the number of days they are to be fed, and the number of animals being fed.  The calculations show how much feed needs to be purchased given the feed losses specified for hauling, storing and feeding, and its total cost.  These costs are broken down by operation for your information.</a:t>
          </a: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B1:D33"/>
  <sheetViews>
    <sheetView tabSelected="1" topLeftCell="A11" workbookViewId="0">
      <selection activeCell="F33" sqref="F33"/>
    </sheetView>
  </sheetViews>
  <sheetFormatPr defaultRowHeight="12.75" x14ac:dyDescent="0.2"/>
  <cols>
    <col min="1" max="2" width="9.140625" style="6"/>
    <col min="3" max="3" width="92.140625" style="6" customWidth="1"/>
    <col min="4" max="16384" width="9.140625" style="6"/>
  </cols>
  <sheetData>
    <row r="1" spans="2:4" ht="13.5" thickBot="1" x14ac:dyDescent="0.25"/>
    <row r="2" spans="2:4" ht="13.5" thickTop="1" x14ac:dyDescent="0.2">
      <c r="B2" s="184"/>
      <c r="C2" s="185"/>
      <c r="D2" s="186"/>
    </row>
    <row r="3" spans="2:4" x14ac:dyDescent="0.2">
      <c r="B3" s="187"/>
      <c r="C3" s="108"/>
      <c r="D3" s="188"/>
    </row>
    <row r="4" spans="2:4" x14ac:dyDescent="0.2">
      <c r="B4" s="187"/>
      <c r="C4" s="108"/>
      <c r="D4" s="188"/>
    </row>
    <row r="5" spans="2:4" x14ac:dyDescent="0.2">
      <c r="B5" s="187"/>
      <c r="C5" s="108"/>
      <c r="D5" s="188"/>
    </row>
    <row r="6" spans="2:4" x14ac:dyDescent="0.2">
      <c r="B6" s="187"/>
      <c r="C6" s="108"/>
      <c r="D6" s="188"/>
    </row>
    <row r="7" spans="2:4" x14ac:dyDescent="0.2">
      <c r="B7" s="187"/>
      <c r="C7" s="108"/>
      <c r="D7" s="188"/>
    </row>
    <row r="8" spans="2:4" x14ac:dyDescent="0.2">
      <c r="B8" s="187"/>
      <c r="C8" s="108"/>
      <c r="D8" s="188"/>
    </row>
    <row r="9" spans="2:4" x14ac:dyDescent="0.2">
      <c r="B9" s="187"/>
      <c r="C9" s="108"/>
      <c r="D9" s="188"/>
    </row>
    <row r="10" spans="2:4" x14ac:dyDescent="0.2">
      <c r="B10" s="187"/>
      <c r="C10" s="108"/>
      <c r="D10" s="188"/>
    </row>
    <row r="11" spans="2:4" x14ac:dyDescent="0.2">
      <c r="B11" s="187"/>
      <c r="C11" s="108"/>
      <c r="D11" s="188"/>
    </row>
    <row r="12" spans="2:4" x14ac:dyDescent="0.2">
      <c r="B12" s="187"/>
      <c r="C12" s="108"/>
      <c r="D12" s="188"/>
    </row>
    <row r="13" spans="2:4" x14ac:dyDescent="0.2">
      <c r="B13" s="187"/>
      <c r="C13" s="108"/>
      <c r="D13" s="188"/>
    </row>
    <row r="14" spans="2:4" x14ac:dyDescent="0.2">
      <c r="B14" s="187"/>
      <c r="C14" s="108"/>
      <c r="D14" s="188"/>
    </row>
    <row r="15" spans="2:4" x14ac:dyDescent="0.2">
      <c r="B15" s="187"/>
      <c r="C15" s="108"/>
      <c r="D15" s="188"/>
    </row>
    <row r="16" spans="2:4" ht="59.25" x14ac:dyDescent="0.75">
      <c r="B16" s="187"/>
      <c r="C16" s="189" t="s">
        <v>146</v>
      </c>
      <c r="D16" s="188"/>
    </row>
    <row r="17" spans="2:4" x14ac:dyDescent="0.2">
      <c r="B17" s="187"/>
      <c r="C17" s="247" t="s">
        <v>399</v>
      </c>
      <c r="D17" s="188"/>
    </row>
    <row r="18" spans="2:4" x14ac:dyDescent="0.2">
      <c r="B18" s="187"/>
      <c r="C18" s="246"/>
      <c r="D18" s="188"/>
    </row>
    <row r="19" spans="2:4" x14ac:dyDescent="0.2">
      <c r="B19" s="187"/>
      <c r="C19" s="247"/>
      <c r="D19" s="188"/>
    </row>
    <row r="20" spans="2:4" ht="30" x14ac:dyDescent="0.4">
      <c r="B20" s="187"/>
      <c r="C20" s="190" t="s">
        <v>129</v>
      </c>
      <c r="D20" s="188"/>
    </row>
    <row r="21" spans="2:4" ht="30" x14ac:dyDescent="0.4">
      <c r="B21" s="187"/>
      <c r="C21" s="191" t="s">
        <v>130</v>
      </c>
      <c r="D21" s="188"/>
    </row>
    <row r="22" spans="2:4" ht="30" x14ac:dyDescent="0.4">
      <c r="B22" s="187"/>
      <c r="C22" s="191" t="s">
        <v>131</v>
      </c>
      <c r="D22" s="188"/>
    </row>
    <row r="23" spans="2:4" x14ac:dyDescent="0.2">
      <c r="B23" s="187"/>
      <c r="C23" s="108"/>
      <c r="D23" s="188"/>
    </row>
    <row r="24" spans="2:4" ht="18" x14ac:dyDescent="0.25">
      <c r="B24" s="187"/>
      <c r="C24" s="192" t="s">
        <v>132</v>
      </c>
      <c r="D24" s="188"/>
    </row>
    <row r="25" spans="2:4" ht="18" x14ac:dyDescent="0.25">
      <c r="B25" s="187"/>
      <c r="C25" s="192" t="s">
        <v>133</v>
      </c>
      <c r="D25" s="188"/>
    </row>
    <row r="26" spans="2:4" x14ac:dyDescent="0.2">
      <c r="B26" s="187"/>
      <c r="C26" s="108"/>
      <c r="D26" s="188"/>
    </row>
    <row r="27" spans="2:4" ht="13.5" thickBot="1" x14ac:dyDescent="0.25">
      <c r="B27" s="193"/>
      <c r="C27" s="194"/>
      <c r="D27" s="195"/>
    </row>
    <row r="28" spans="2:4" ht="13.5" thickTop="1" x14ac:dyDescent="0.2"/>
    <row r="32" spans="2:4" ht="14.25" x14ac:dyDescent="0.2">
      <c r="C32" s="281" t="s">
        <v>400</v>
      </c>
    </row>
    <row r="33" ht="235.5" customHeight="1" x14ac:dyDescent="0.2"/>
  </sheetData>
  <phoneticPr fontId="2" type="noConversion"/>
  <pageMargins left="0.75" right="0.75" top="1" bottom="1" header="0.5" footer="0.5"/>
  <pageSetup orientation="portrait" horizontalDpi="4294967293" verticalDpi="0" r:id="rId1"/>
  <headerFooter alignWithMargins="0"/>
  <drawing r:id="rId2"/>
  <legacyDrawing r:id="rId3"/>
  <oleObjects>
    <mc:AlternateContent xmlns:mc="http://schemas.openxmlformats.org/markup-compatibility/2006">
      <mc:Choice Requires="x14">
        <oleObject progId="Word.Document.12" shapeId="4098" r:id="rId4">
          <objectPr defaultSize="0" r:id="rId5">
            <anchor moveWithCells="1">
              <from>
                <xdr:col>2</xdr:col>
                <xdr:colOff>0</xdr:colOff>
                <xdr:row>32</xdr:row>
                <xdr:rowOff>85725</xdr:rowOff>
              </from>
              <to>
                <xdr:col>2</xdr:col>
                <xdr:colOff>6134100</xdr:colOff>
                <xdr:row>32</xdr:row>
                <xdr:rowOff>2247900</xdr:rowOff>
              </to>
            </anchor>
          </objectPr>
        </oleObject>
      </mc:Choice>
      <mc:Fallback>
        <oleObject progId="Word.Document.12" shapeId="4098"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BB37"/>
  <sheetViews>
    <sheetView workbookViewId="0"/>
  </sheetViews>
  <sheetFormatPr defaultRowHeight="12.75" x14ac:dyDescent="0.2"/>
  <cols>
    <col min="1" max="1" width="4" style="6" customWidth="1"/>
    <col min="2" max="2" width="4.42578125" style="6" customWidth="1"/>
    <col min="3" max="3" width="36.85546875" style="6" customWidth="1"/>
    <col min="4" max="4" width="9.140625" style="6"/>
    <col min="5" max="5" width="10.7109375" style="6" customWidth="1"/>
    <col min="6" max="7" width="9.140625" style="6"/>
    <col min="8" max="9" width="4.85546875" style="6" customWidth="1"/>
    <col min="10" max="10" width="4.5703125" style="6" customWidth="1"/>
    <col min="11" max="11" width="3.7109375" style="6" customWidth="1"/>
    <col min="12" max="13" width="9.140625" style="6"/>
    <col min="14" max="14" width="13.7109375" style="6" bestFit="1" customWidth="1"/>
    <col min="15" max="15" width="13.7109375" style="6" customWidth="1"/>
    <col min="16" max="16" width="4.5703125" style="6" customWidth="1"/>
    <col min="17" max="17" width="19.28515625" style="6" bestFit="1" customWidth="1"/>
    <col min="18" max="16384" width="9.140625" style="6"/>
  </cols>
  <sheetData>
    <row r="1" spans="2:54" ht="18.75" thickBot="1" x14ac:dyDescent="0.3">
      <c r="B1" s="6">
        <v>8</v>
      </c>
      <c r="J1" s="95" t="s">
        <v>97</v>
      </c>
    </row>
    <row r="2" spans="2:54" ht="18.75" thickBot="1" x14ac:dyDescent="0.3">
      <c r="B2" s="95" t="s">
        <v>98</v>
      </c>
      <c r="J2" s="104"/>
      <c r="K2" s="105"/>
      <c r="L2" s="105"/>
      <c r="M2" s="105"/>
      <c r="N2" s="105"/>
      <c r="O2" s="105"/>
      <c r="P2" s="106"/>
    </row>
    <row r="3" spans="2:54" x14ac:dyDescent="0.2">
      <c r="B3" s="173"/>
      <c r="C3" s="97"/>
      <c r="D3" s="97"/>
      <c r="E3" s="97"/>
      <c r="F3" s="97"/>
      <c r="G3" s="97"/>
      <c r="H3" s="52"/>
      <c r="J3" s="112"/>
      <c r="K3" s="113" t="s">
        <v>58</v>
      </c>
      <c r="L3" s="174">
        <f>IF(E12=0,"",IF(L7="","",L7/E12))</f>
        <v>1.0570824524312898</v>
      </c>
      <c r="M3" s="115" t="s">
        <v>94</v>
      </c>
      <c r="N3" s="115"/>
      <c r="O3" s="115"/>
      <c r="P3" s="116"/>
    </row>
    <row r="4" spans="2:54" x14ac:dyDescent="0.2">
      <c r="B4" s="175"/>
      <c r="C4" s="124" t="s">
        <v>99</v>
      </c>
      <c r="D4" s="108"/>
      <c r="E4" s="248" t="s">
        <v>164</v>
      </c>
      <c r="F4" s="248"/>
      <c r="G4" s="248"/>
      <c r="H4" s="176"/>
      <c r="I4" s="123"/>
      <c r="J4" s="112"/>
      <c r="K4" s="118"/>
      <c r="L4" s="119"/>
      <c r="M4" s="120"/>
      <c r="N4" s="120"/>
      <c r="O4" s="120"/>
      <c r="P4" s="116"/>
      <c r="AH4" s="6" t="s">
        <v>6</v>
      </c>
      <c r="AI4" s="6" t="s">
        <v>30</v>
      </c>
      <c r="AJ4" s="6" t="s">
        <v>100</v>
      </c>
      <c r="AK4" s="6" t="s">
        <v>33</v>
      </c>
      <c r="AL4" s="6" t="s">
        <v>101</v>
      </c>
      <c r="AM4" s="6" t="s">
        <v>102</v>
      </c>
      <c r="AQ4" s="6" t="s">
        <v>41</v>
      </c>
      <c r="AR4" s="6" t="s">
        <v>80</v>
      </c>
      <c r="AS4" s="6" t="s">
        <v>42</v>
      </c>
      <c r="AU4" s="6" t="s">
        <v>44</v>
      </c>
      <c r="AW4" s="6" t="s">
        <v>30</v>
      </c>
      <c r="AX4" s="6" t="s">
        <v>44</v>
      </c>
      <c r="AZ4" s="6" t="s">
        <v>30</v>
      </c>
      <c r="BA4" s="6" t="s">
        <v>44</v>
      </c>
      <c r="BB4" s="6" t="s">
        <v>103</v>
      </c>
    </row>
    <row r="5" spans="2:54" x14ac:dyDescent="0.2">
      <c r="B5" s="175"/>
      <c r="C5" s="124"/>
      <c r="D5" s="108"/>
      <c r="E5" s="108"/>
      <c r="F5" s="108"/>
      <c r="G5" s="108"/>
      <c r="H5" s="19"/>
      <c r="I5" s="123"/>
      <c r="J5" s="121"/>
      <c r="K5" s="113" t="s">
        <v>58</v>
      </c>
      <c r="L5" s="174">
        <f>IF(E14=0,"",IF(L7="","",L7/E14))</f>
        <v>0.29515938606847697</v>
      </c>
      <c r="M5" s="115" t="s">
        <v>95</v>
      </c>
      <c r="N5" s="115"/>
      <c r="O5" s="115"/>
      <c r="P5" s="116"/>
    </row>
    <row r="6" spans="2:54" x14ac:dyDescent="0.2">
      <c r="B6" s="175"/>
      <c r="C6" s="124" t="s">
        <v>104</v>
      </c>
      <c r="D6" s="155" t="s">
        <v>58</v>
      </c>
      <c r="E6" s="177">
        <v>400</v>
      </c>
      <c r="F6" s="108"/>
      <c r="G6" s="108"/>
      <c r="H6" s="19"/>
      <c r="J6" s="121"/>
      <c r="K6" s="118"/>
      <c r="L6" s="119"/>
      <c r="M6" s="120"/>
      <c r="N6" s="120"/>
      <c r="O6" s="120"/>
      <c r="P6" s="116"/>
      <c r="AG6" s="6">
        <v>1</v>
      </c>
      <c r="AH6" s="6" t="str">
        <f>E4</f>
        <v>Corn Gluten Feed</v>
      </c>
      <c r="AI6" s="131">
        <f>E6</f>
        <v>400</v>
      </c>
      <c r="AJ6" s="131">
        <f>E8</f>
        <v>2000</v>
      </c>
      <c r="AK6" s="131">
        <f>E10</f>
        <v>0.88</v>
      </c>
      <c r="AL6" s="131">
        <f>E12</f>
        <v>0.215</v>
      </c>
      <c r="AM6" s="131">
        <f>E14</f>
        <v>0.77</v>
      </c>
      <c r="AQ6" s="131">
        <f>E18</f>
        <v>5</v>
      </c>
      <c r="AR6" s="131">
        <f>E16</f>
        <v>200</v>
      </c>
      <c r="AS6" s="131">
        <f>E20</f>
        <v>20</v>
      </c>
      <c r="AU6" s="131">
        <f>E22</f>
        <v>0.03</v>
      </c>
      <c r="AW6" s="131">
        <f>E24</f>
        <v>10</v>
      </c>
      <c r="AX6" s="131">
        <f>E26</f>
        <v>0.12</v>
      </c>
      <c r="AZ6" s="131">
        <f>E28</f>
        <v>6</v>
      </c>
      <c r="BA6" s="131">
        <f>E30</f>
        <v>0.06</v>
      </c>
    </row>
    <row r="7" spans="2:54" x14ac:dyDescent="0.2">
      <c r="B7" s="175"/>
      <c r="C7" s="124"/>
      <c r="D7" s="108"/>
      <c r="E7" s="178"/>
      <c r="F7" s="108"/>
      <c r="G7" s="108"/>
      <c r="H7" s="19"/>
      <c r="J7" s="121"/>
      <c r="K7" s="113" t="s">
        <v>58</v>
      </c>
      <c r="L7" s="174">
        <f>IF(E8=0,"",IF(E10=0,"",$E$6/$E$8/$E$10))</f>
        <v>0.22727272727272729</v>
      </c>
      <c r="M7" s="115" t="s">
        <v>96</v>
      </c>
      <c r="N7" s="115"/>
      <c r="O7" s="115"/>
      <c r="P7" s="116"/>
      <c r="AI7" s="131"/>
      <c r="AJ7" s="131"/>
      <c r="AK7" s="131"/>
      <c r="AL7" s="131"/>
      <c r="AM7" s="131"/>
      <c r="AQ7" s="131"/>
      <c r="AR7" s="131"/>
      <c r="AS7" s="131"/>
      <c r="AU7" s="131"/>
      <c r="AW7" s="131"/>
      <c r="AX7" s="131"/>
      <c r="AZ7" s="131"/>
      <c r="BA7" s="131"/>
    </row>
    <row r="8" spans="2:54" ht="13.5" thickBot="1" x14ac:dyDescent="0.25">
      <c r="B8" s="175"/>
      <c r="C8" s="124" t="s">
        <v>105</v>
      </c>
      <c r="D8" s="108"/>
      <c r="E8" s="179">
        <v>2000</v>
      </c>
      <c r="F8" s="108" t="s">
        <v>106</v>
      </c>
      <c r="G8" s="108"/>
      <c r="H8" s="19"/>
      <c r="J8" s="127"/>
      <c r="K8" s="128"/>
      <c r="L8" s="129"/>
      <c r="M8" s="128"/>
      <c r="N8" s="128"/>
      <c r="O8" s="128"/>
      <c r="P8" s="130"/>
    </row>
    <row r="9" spans="2:54" x14ac:dyDescent="0.2">
      <c r="B9" s="175"/>
      <c r="C9" s="124"/>
      <c r="D9" s="108"/>
      <c r="E9" s="178"/>
      <c r="F9" s="108"/>
      <c r="G9" s="108"/>
      <c r="H9" s="19"/>
      <c r="L9" s="132"/>
    </row>
    <row r="10" spans="2:54" ht="18.75" thickBot="1" x14ac:dyDescent="0.3">
      <c r="B10" s="175"/>
      <c r="C10" s="124" t="s">
        <v>107</v>
      </c>
      <c r="D10" s="108"/>
      <c r="E10" s="180">
        <v>0.88</v>
      </c>
      <c r="F10" s="243" t="s">
        <v>397</v>
      </c>
      <c r="G10" s="108"/>
      <c r="H10" s="19"/>
      <c r="J10" s="95" t="s">
        <v>108</v>
      </c>
      <c r="L10" s="132"/>
    </row>
    <row r="11" spans="2:54" x14ac:dyDescent="0.2">
      <c r="B11" s="175"/>
      <c r="C11" s="124"/>
      <c r="D11" s="108"/>
      <c r="E11" s="178"/>
      <c r="F11" s="108"/>
      <c r="G11" s="108"/>
      <c r="H11" s="19"/>
      <c r="J11" s="104"/>
      <c r="K11" s="105"/>
      <c r="L11" s="136"/>
      <c r="M11" s="105"/>
      <c r="N11" s="105"/>
      <c r="O11" s="105"/>
      <c r="P11" s="106"/>
    </row>
    <row r="12" spans="2:54" x14ac:dyDescent="0.2">
      <c r="B12" s="175"/>
      <c r="C12" s="124" t="s">
        <v>109</v>
      </c>
      <c r="D12" s="108"/>
      <c r="E12" s="180">
        <v>0.215</v>
      </c>
      <c r="F12" s="243" t="s">
        <v>397</v>
      </c>
      <c r="G12" s="108"/>
      <c r="H12" s="19"/>
      <c r="J12" s="112"/>
      <c r="K12" s="113" t="s">
        <v>58</v>
      </c>
      <c r="L12" s="174">
        <f>IF(E12=0,"",IF(L16="","",L16/E12))</f>
        <v>1.225997689675465</v>
      </c>
      <c r="M12" s="115" t="s">
        <v>94</v>
      </c>
      <c r="N12" s="115"/>
      <c r="O12" s="115"/>
      <c r="P12" s="116"/>
    </row>
    <row r="13" spans="2:54" x14ac:dyDescent="0.2">
      <c r="B13" s="175"/>
      <c r="C13" s="124"/>
      <c r="D13" s="108"/>
      <c r="E13" s="178"/>
      <c r="F13" s="108"/>
      <c r="G13" s="108"/>
      <c r="H13" s="19"/>
      <c r="J13" s="112"/>
      <c r="K13" s="118"/>
      <c r="L13" s="119"/>
      <c r="M13" s="120"/>
      <c r="N13" s="120"/>
      <c r="O13" s="120"/>
      <c r="P13" s="116"/>
    </row>
    <row r="14" spans="2:54" x14ac:dyDescent="0.2">
      <c r="B14" s="175"/>
      <c r="C14" s="124" t="s">
        <v>110</v>
      </c>
      <c r="D14" s="108"/>
      <c r="E14" s="180">
        <v>0.77</v>
      </c>
      <c r="F14" s="243" t="s">
        <v>397</v>
      </c>
      <c r="G14" s="108"/>
      <c r="H14" s="19"/>
      <c r="J14" s="121"/>
      <c r="K14" s="113" t="s">
        <v>58</v>
      </c>
      <c r="L14" s="174">
        <f>IF(E14=0,"",IF(L16="","",L16/E14))</f>
        <v>0.34232403023405839</v>
      </c>
      <c r="M14" s="115" t="s">
        <v>95</v>
      </c>
      <c r="N14" s="115"/>
      <c r="O14" s="115"/>
      <c r="P14" s="116"/>
    </row>
    <row r="15" spans="2:54" x14ac:dyDescent="0.2">
      <c r="B15" s="175"/>
      <c r="C15" s="124"/>
      <c r="D15" s="108"/>
      <c r="E15" s="178"/>
      <c r="F15" s="108"/>
      <c r="G15" s="108"/>
      <c r="H15" s="19"/>
      <c r="J15" s="121"/>
      <c r="K15" s="118"/>
      <c r="L15" s="119"/>
      <c r="M15" s="120"/>
      <c r="N15" s="120"/>
      <c r="O15" s="120"/>
      <c r="P15" s="116"/>
    </row>
    <row r="16" spans="2:54" x14ac:dyDescent="0.2">
      <c r="B16" s="175"/>
      <c r="C16" s="124" t="s">
        <v>111</v>
      </c>
      <c r="D16" s="108"/>
      <c r="E16" s="179">
        <v>200</v>
      </c>
      <c r="F16" s="108" t="s">
        <v>80</v>
      </c>
      <c r="G16" s="108"/>
      <c r="H16" s="19"/>
      <c r="J16" s="121"/>
      <c r="K16" s="113" t="s">
        <v>58</v>
      </c>
      <c r="L16" s="174">
        <f>IF(E8=0,"",IF(E10=0,"",($E$6+$E$16*IF($E$20="",0,IF(E20=0,0,$E$18/E20)))/$E$8/$E$10/(1-$E$22)))</f>
        <v>0.26358950328022496</v>
      </c>
      <c r="M16" s="115" t="s">
        <v>96</v>
      </c>
      <c r="N16" s="115"/>
      <c r="O16" s="115"/>
      <c r="P16" s="116"/>
    </row>
    <row r="17" spans="2:16" ht="13.5" thickBot="1" x14ac:dyDescent="0.25">
      <c r="B17" s="175"/>
      <c r="C17" s="124"/>
      <c r="D17" s="108"/>
      <c r="E17" s="178"/>
      <c r="F17" s="108"/>
      <c r="G17" s="108"/>
      <c r="H17" s="19"/>
      <c r="J17" s="127"/>
      <c r="K17" s="128"/>
      <c r="L17" s="129"/>
      <c r="M17" s="128"/>
      <c r="N17" s="128"/>
      <c r="O17" s="128"/>
      <c r="P17" s="130"/>
    </row>
    <row r="18" spans="2:16" x14ac:dyDescent="0.2">
      <c r="B18" s="175"/>
      <c r="C18" s="124" t="s">
        <v>112</v>
      </c>
      <c r="D18" s="155" t="s">
        <v>58</v>
      </c>
      <c r="E18" s="177">
        <v>5</v>
      </c>
      <c r="F18" s="108" t="s">
        <v>82</v>
      </c>
      <c r="G18" s="108"/>
      <c r="H18" s="19"/>
      <c r="L18" s="132"/>
    </row>
    <row r="19" spans="2:16" ht="18.75" thickBot="1" x14ac:dyDescent="0.3">
      <c r="B19" s="175"/>
      <c r="C19" s="124"/>
      <c r="D19" s="108"/>
      <c r="E19" s="178"/>
      <c r="F19" s="108"/>
      <c r="G19" s="108"/>
      <c r="H19" s="19"/>
      <c r="J19" s="95" t="s">
        <v>113</v>
      </c>
      <c r="L19" s="132"/>
    </row>
    <row r="20" spans="2:16" x14ac:dyDescent="0.2">
      <c r="B20" s="175"/>
      <c r="C20" s="124" t="str">
        <f>CONCATENATE("How many ",$F$20,"s are hauled per load?")</f>
        <v>How many tons are hauled per load?</v>
      </c>
      <c r="D20" s="108"/>
      <c r="E20" s="179">
        <v>20</v>
      </c>
      <c r="F20" s="108" t="str">
        <f>IF(E8=2000,"ton",IF(E8=100,"hundredweight",IF(E8&gt;31,IF(E8&lt;71,"bushel","unit"),"unit")))</f>
        <v>ton</v>
      </c>
      <c r="G20" s="108"/>
      <c r="H20" s="19"/>
      <c r="J20" s="104"/>
      <c r="K20" s="105"/>
      <c r="L20" s="136"/>
      <c r="M20" s="105"/>
      <c r="N20" s="105"/>
      <c r="O20" s="105"/>
      <c r="P20" s="106"/>
    </row>
    <row r="21" spans="2:16" x14ac:dyDescent="0.2">
      <c r="B21" s="175"/>
      <c r="C21" s="124"/>
      <c r="D21" s="108"/>
      <c r="E21" s="178"/>
      <c r="F21" s="108"/>
      <c r="G21" s="108"/>
      <c r="H21" s="19"/>
      <c r="J21" s="112"/>
      <c r="K21" s="113" t="s">
        <v>58</v>
      </c>
      <c r="L21" s="174">
        <f>IF(E12=0,"",IF(L25="","",L25/E12))</f>
        <v>1.4232099443025532</v>
      </c>
      <c r="M21" s="115" t="s">
        <v>94</v>
      </c>
      <c r="N21" s="115"/>
      <c r="O21" s="115"/>
      <c r="P21" s="116"/>
    </row>
    <row r="22" spans="2:16" x14ac:dyDescent="0.2">
      <c r="B22" s="175"/>
      <c r="C22" s="124" t="s">
        <v>114</v>
      </c>
      <c r="D22" s="108"/>
      <c r="E22" s="180">
        <v>0.03</v>
      </c>
      <c r="F22" s="108"/>
      <c r="G22" s="108"/>
      <c r="H22" s="19"/>
      <c r="J22" s="112"/>
      <c r="K22" s="118"/>
      <c r="L22" s="119"/>
      <c r="M22" s="120"/>
      <c r="N22" s="120"/>
      <c r="O22" s="120"/>
      <c r="P22" s="116"/>
    </row>
    <row r="23" spans="2:16" x14ac:dyDescent="0.2">
      <c r="B23" s="175"/>
      <c r="C23" s="124"/>
      <c r="D23" s="108"/>
      <c r="E23" s="178"/>
      <c r="F23" s="108"/>
      <c r="G23" s="108"/>
      <c r="H23" s="19"/>
      <c r="J23" s="121"/>
      <c r="K23" s="113" t="s">
        <v>58</v>
      </c>
      <c r="L23" s="174">
        <f>IF(E14=0,"",IF(L25="","",L25/E14))</f>
        <v>0.39738978964292065</v>
      </c>
      <c r="M23" s="115" t="s">
        <v>95</v>
      </c>
      <c r="N23" s="115"/>
      <c r="O23" s="115"/>
      <c r="P23" s="116"/>
    </row>
    <row r="24" spans="2:16" x14ac:dyDescent="0.2">
      <c r="B24" s="175"/>
      <c r="C24" s="124" t="s">
        <v>115</v>
      </c>
      <c r="D24" s="155" t="s">
        <v>58</v>
      </c>
      <c r="E24" s="177">
        <v>10</v>
      </c>
      <c r="F24" s="108" t="str">
        <f>CONCATENATE("per ",$F$20)</f>
        <v>per ton</v>
      </c>
      <c r="G24" s="108"/>
      <c r="H24" s="19"/>
      <c r="J24" s="121"/>
      <c r="K24" s="118"/>
      <c r="L24" s="119"/>
      <c r="M24" s="120"/>
      <c r="N24" s="120"/>
      <c r="O24" s="120"/>
      <c r="P24" s="116"/>
    </row>
    <row r="25" spans="2:16" x14ac:dyDescent="0.2">
      <c r="B25" s="175"/>
      <c r="C25" s="124"/>
      <c r="D25" s="108"/>
      <c r="E25" s="178"/>
      <c r="F25" s="108"/>
      <c r="G25" s="108"/>
      <c r="H25" s="19"/>
      <c r="J25" s="121"/>
      <c r="K25" s="113" t="s">
        <v>58</v>
      </c>
      <c r="L25" s="174">
        <f>IF(E8=0,"",IF(E10=0,"",IF(E20=0,"",(E6+E16*E18/E20+E24*(1-E22))/E8/E10/(1-E22)/(1-E26))))</f>
        <v>0.30599013802504893</v>
      </c>
      <c r="M25" s="115" t="s">
        <v>96</v>
      </c>
      <c r="N25" s="115"/>
      <c r="O25" s="115"/>
      <c r="P25" s="116"/>
    </row>
    <row r="26" spans="2:16" ht="13.5" thickBot="1" x14ac:dyDescent="0.25">
      <c r="B26" s="175"/>
      <c r="C26" s="124" t="s">
        <v>116</v>
      </c>
      <c r="D26" s="108"/>
      <c r="E26" s="180">
        <v>0.12</v>
      </c>
      <c r="F26" s="108"/>
      <c r="G26" s="108"/>
      <c r="H26" s="19"/>
      <c r="J26" s="127"/>
      <c r="K26" s="128"/>
      <c r="L26" s="129"/>
      <c r="M26" s="128"/>
      <c r="N26" s="128"/>
      <c r="O26" s="128"/>
      <c r="P26" s="130"/>
    </row>
    <row r="27" spans="2:16" x14ac:dyDescent="0.2">
      <c r="B27" s="175"/>
      <c r="C27" s="124"/>
      <c r="D27" s="108"/>
      <c r="E27" s="178"/>
      <c r="F27" s="108"/>
      <c r="G27" s="108"/>
      <c r="H27" s="19"/>
      <c r="L27" s="132"/>
    </row>
    <row r="28" spans="2:16" ht="18.75" thickBot="1" x14ac:dyDescent="0.3">
      <c r="B28" s="175"/>
      <c r="C28" s="124" t="s">
        <v>117</v>
      </c>
      <c r="D28" s="155" t="s">
        <v>58</v>
      </c>
      <c r="E28" s="177">
        <v>6</v>
      </c>
      <c r="F28" s="108" t="str">
        <f>CONCATENATE("per ",$F$20)</f>
        <v>per ton</v>
      </c>
      <c r="G28" s="108"/>
      <c r="H28" s="19"/>
      <c r="J28" s="95" t="s">
        <v>118</v>
      </c>
      <c r="L28" s="132"/>
    </row>
    <row r="29" spans="2:16" x14ac:dyDescent="0.2">
      <c r="B29" s="175"/>
      <c r="C29" s="124"/>
      <c r="D29" s="108"/>
      <c r="E29" s="178"/>
      <c r="F29" s="108"/>
      <c r="G29" s="108"/>
      <c r="H29" s="19"/>
      <c r="J29" s="104"/>
      <c r="K29" s="105"/>
      <c r="L29" s="136"/>
      <c r="M29" s="105"/>
      <c r="N29" s="105"/>
      <c r="O29" s="105"/>
      <c r="P29" s="106"/>
    </row>
    <row r="30" spans="2:16" x14ac:dyDescent="0.2">
      <c r="B30" s="175"/>
      <c r="C30" s="124" t="s">
        <v>119</v>
      </c>
      <c r="D30" s="108"/>
      <c r="E30" s="180">
        <v>0.06</v>
      </c>
      <c r="F30" s="108"/>
      <c r="G30" s="108"/>
      <c r="H30" s="19"/>
      <c r="J30" s="112"/>
      <c r="K30" s="113" t="s">
        <v>58</v>
      </c>
      <c r="L30" s="174">
        <f>IF(E12=0,"",IF(L34=0,0,L34/E12))</f>
        <v>1.5309214692436415</v>
      </c>
      <c r="M30" s="115" t="s">
        <v>94</v>
      </c>
      <c r="N30" s="115"/>
      <c r="O30" s="115"/>
      <c r="P30" s="116"/>
    </row>
    <row r="31" spans="2:16" ht="13.5" thickBot="1" x14ac:dyDescent="0.25">
      <c r="B31" s="36"/>
      <c r="C31" s="37"/>
      <c r="D31" s="37"/>
      <c r="E31" s="37"/>
      <c r="F31" s="37"/>
      <c r="G31" s="37"/>
      <c r="H31" s="38"/>
      <c r="J31" s="112"/>
      <c r="K31" s="118"/>
      <c r="L31" s="119"/>
      <c r="M31" s="120"/>
      <c r="N31" s="120"/>
      <c r="O31" s="120"/>
      <c r="P31" s="116"/>
    </row>
    <row r="32" spans="2:16" ht="13.5" thickBot="1" x14ac:dyDescent="0.25">
      <c r="J32" s="121"/>
      <c r="K32" s="113" t="s">
        <v>58</v>
      </c>
      <c r="L32" s="174">
        <f>IF(E14=0,"",IF(L34=0,0,L34/E14))</f>
        <v>0.42746508556802976</v>
      </c>
      <c r="M32" s="115" t="s">
        <v>95</v>
      </c>
      <c r="N32" s="115"/>
      <c r="O32" s="115"/>
      <c r="P32" s="116"/>
    </row>
    <row r="33" spans="2:16" x14ac:dyDescent="0.2">
      <c r="B33" s="104"/>
      <c r="C33" s="105"/>
      <c r="D33" s="105"/>
      <c r="E33" s="105"/>
      <c r="F33" s="105"/>
      <c r="G33" s="105"/>
      <c r="H33" s="106"/>
      <c r="J33" s="121"/>
      <c r="K33" s="118"/>
      <c r="L33" s="119"/>
      <c r="M33" s="120"/>
      <c r="N33" s="120"/>
      <c r="O33" s="120"/>
      <c r="P33" s="116"/>
    </row>
    <row r="34" spans="2:16" ht="18" x14ac:dyDescent="0.25">
      <c r="B34" s="121"/>
      <c r="C34" s="236" t="s">
        <v>160</v>
      </c>
      <c r="D34" s="120"/>
      <c r="E34" s="249">
        <f>IF(L34=0,0,L34*E10)</f>
        <v>0.28965034198089695</v>
      </c>
      <c r="F34" s="249"/>
      <c r="G34" s="249"/>
      <c r="H34" s="250"/>
      <c r="J34" s="121"/>
      <c r="K34" s="113" t="s">
        <v>58</v>
      </c>
      <c r="L34" s="174">
        <f>IF(E8=0,0,IF(E10=0,0,IF(E20=0,0,(E6+E16*E18/E20+E24*(1-E22)+E28*(1-E22)*(1-E26))/E8/E10/(1-E22)/(1-E26)/(1-E30))))</f>
        <v>0.32914811588738291</v>
      </c>
      <c r="M34" s="115" t="s">
        <v>96</v>
      </c>
      <c r="N34" s="115"/>
      <c r="O34" s="115"/>
      <c r="P34" s="116"/>
    </row>
    <row r="35" spans="2:16" ht="13.5" thickBot="1" x14ac:dyDescent="0.25">
      <c r="B35" s="127"/>
      <c r="C35" s="128"/>
      <c r="D35" s="128"/>
      <c r="E35" s="128"/>
      <c r="F35" s="128"/>
      <c r="G35" s="128"/>
      <c r="H35" s="130"/>
      <c r="J35" s="127"/>
      <c r="K35" s="128"/>
      <c r="L35" s="128"/>
      <c r="M35" s="128"/>
      <c r="N35" s="128"/>
      <c r="O35" s="128"/>
      <c r="P35" s="130"/>
    </row>
    <row r="37" spans="2:16" x14ac:dyDescent="0.2">
      <c r="B37" s="244" t="s">
        <v>397</v>
      </c>
      <c r="C37" s="246" t="s">
        <v>398</v>
      </c>
      <c r="D37" s="246"/>
      <c r="E37" s="246"/>
    </row>
  </sheetData>
  <sheetProtection sheet="1" objects="1" scenarios="1"/>
  <mergeCells count="3">
    <mergeCell ref="E4:G4"/>
    <mergeCell ref="E34:F34"/>
    <mergeCell ref="G34:H34"/>
  </mergeCells>
  <phoneticPr fontId="2" type="noConversion"/>
  <dataValidations count="2">
    <dataValidation type="decimal" operator="greaterThanOrEqual" allowBlank="1" showInputMessage="1" showErrorMessage="1" errorTitle="Restricted Data Entry" error="Only numbers greater than or equal to zero can be entered in this cell." sqref="E6 E16 E18 E20 E22 E24 E26 E28 E30">
      <formula1>0</formula1>
    </dataValidation>
    <dataValidation type="decimal" operator="greaterThan" allowBlank="1" showInputMessage="1" showErrorMessage="1" errorTitle="Restricted Data Entry" error="Only numbers greater than zero may be entered in this cell." sqref="E8 E10 E12 E14">
      <formula1>0</formula1>
    </dataValidation>
  </dataValidations>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BB37"/>
  <sheetViews>
    <sheetView workbookViewId="0"/>
  </sheetViews>
  <sheetFormatPr defaultRowHeight="12.75" x14ac:dyDescent="0.2"/>
  <cols>
    <col min="1" max="1" width="4" style="6" customWidth="1"/>
    <col min="2" max="2" width="4.42578125" style="6" customWidth="1"/>
    <col min="3" max="3" width="36.85546875" style="6" customWidth="1"/>
    <col min="4" max="4" width="9.140625" style="6"/>
    <col min="5" max="5" width="10.7109375" style="6" customWidth="1"/>
    <col min="6" max="7" width="9.140625" style="6"/>
    <col min="8" max="9" width="4.85546875" style="6" customWidth="1"/>
    <col min="10" max="10" width="4.5703125" style="6" customWidth="1"/>
    <col min="11" max="11" width="3.7109375" style="6" customWidth="1"/>
    <col min="12" max="13" width="9.140625" style="6"/>
    <col min="14" max="14" width="13.7109375" style="6" bestFit="1" customWidth="1"/>
    <col min="15" max="15" width="13.7109375" style="6" customWidth="1"/>
    <col min="16" max="16" width="4.5703125" style="6" customWidth="1"/>
    <col min="17" max="17" width="19.28515625" style="6" bestFit="1" customWidth="1"/>
    <col min="18" max="16384" width="9.140625" style="6"/>
  </cols>
  <sheetData>
    <row r="1" spans="2:54" ht="18.75" thickBot="1" x14ac:dyDescent="0.3">
      <c r="B1" s="6">
        <v>9</v>
      </c>
      <c r="J1" s="95" t="s">
        <v>97</v>
      </c>
    </row>
    <row r="2" spans="2:54" ht="18.75" thickBot="1" x14ac:dyDescent="0.3">
      <c r="B2" s="95" t="s">
        <v>98</v>
      </c>
      <c r="J2" s="104"/>
      <c r="K2" s="105"/>
      <c r="L2" s="105"/>
      <c r="M2" s="105"/>
      <c r="N2" s="105"/>
      <c r="O2" s="105"/>
      <c r="P2" s="106"/>
    </row>
    <row r="3" spans="2:54" x14ac:dyDescent="0.2">
      <c r="B3" s="173"/>
      <c r="C3" s="97"/>
      <c r="D3" s="97"/>
      <c r="E3" s="97"/>
      <c r="F3" s="97"/>
      <c r="G3" s="97"/>
      <c r="H3" s="52"/>
      <c r="J3" s="112"/>
      <c r="K3" s="113" t="s">
        <v>58</v>
      </c>
      <c r="L3" s="174">
        <f>IF(E12=0,"",IF(L7="","",L7/E12))</f>
        <v>0.99206349206349198</v>
      </c>
      <c r="M3" s="115" t="s">
        <v>94</v>
      </c>
      <c r="N3" s="115"/>
      <c r="O3" s="115"/>
      <c r="P3" s="116"/>
    </row>
    <row r="4" spans="2:54" x14ac:dyDescent="0.2">
      <c r="B4" s="175"/>
      <c r="C4" s="124" t="s">
        <v>99</v>
      </c>
      <c r="D4" s="108"/>
      <c r="E4" s="248" t="s">
        <v>165</v>
      </c>
      <c r="F4" s="248"/>
      <c r="G4" s="248"/>
      <c r="H4" s="176"/>
      <c r="I4" s="123"/>
      <c r="J4" s="112"/>
      <c r="K4" s="118"/>
      <c r="L4" s="119"/>
      <c r="M4" s="120"/>
      <c r="N4" s="120"/>
      <c r="O4" s="120"/>
      <c r="P4" s="116"/>
      <c r="AH4" s="6" t="s">
        <v>6</v>
      </c>
      <c r="AI4" s="6" t="s">
        <v>30</v>
      </c>
      <c r="AJ4" s="6" t="s">
        <v>100</v>
      </c>
      <c r="AK4" s="6" t="s">
        <v>33</v>
      </c>
      <c r="AL4" s="6" t="s">
        <v>101</v>
      </c>
      <c r="AM4" s="6" t="s">
        <v>102</v>
      </c>
      <c r="AQ4" s="6" t="s">
        <v>41</v>
      </c>
      <c r="AR4" s="6" t="s">
        <v>80</v>
      </c>
      <c r="AS4" s="6" t="s">
        <v>42</v>
      </c>
      <c r="AU4" s="6" t="s">
        <v>44</v>
      </c>
      <c r="AW4" s="6" t="s">
        <v>30</v>
      </c>
      <c r="AX4" s="6" t="s">
        <v>44</v>
      </c>
      <c r="AZ4" s="6" t="s">
        <v>30</v>
      </c>
      <c r="BA4" s="6" t="s">
        <v>44</v>
      </c>
      <c r="BB4" s="6" t="s">
        <v>103</v>
      </c>
    </row>
    <row r="5" spans="2:54" x14ac:dyDescent="0.2">
      <c r="B5" s="175"/>
      <c r="C5" s="124"/>
      <c r="D5" s="108"/>
      <c r="E5" s="108"/>
      <c r="F5" s="108"/>
      <c r="G5" s="108"/>
      <c r="H5" s="19"/>
      <c r="I5" s="123"/>
      <c r="J5" s="121"/>
      <c r="K5" s="113" t="s">
        <v>58</v>
      </c>
      <c r="L5" s="174">
        <f>IF(E14=0,"",IF(L7="","",L7/E14))</f>
        <v>9.2592592592592587E-2</v>
      </c>
      <c r="M5" s="115" t="s">
        <v>95</v>
      </c>
      <c r="N5" s="115"/>
      <c r="O5" s="115"/>
      <c r="P5" s="116"/>
    </row>
    <row r="6" spans="2:54" x14ac:dyDescent="0.2">
      <c r="B6" s="175"/>
      <c r="C6" s="124" t="s">
        <v>104</v>
      </c>
      <c r="D6" s="155" t="s">
        <v>58</v>
      </c>
      <c r="E6" s="177">
        <v>75</v>
      </c>
      <c r="F6" s="108"/>
      <c r="G6" s="108"/>
      <c r="H6" s="19"/>
      <c r="J6" s="121"/>
      <c r="K6" s="118"/>
      <c r="L6" s="119"/>
      <c r="M6" s="120"/>
      <c r="N6" s="120"/>
      <c r="O6" s="120"/>
      <c r="P6" s="116"/>
      <c r="AG6" s="6">
        <v>1</v>
      </c>
      <c r="AH6" s="6" t="str">
        <f>E4</f>
        <v>Wheat Straw</v>
      </c>
      <c r="AI6" s="131">
        <f>E6</f>
        <v>75</v>
      </c>
      <c r="AJ6" s="131">
        <f>E8</f>
        <v>2000</v>
      </c>
      <c r="AK6" s="131">
        <f>E10</f>
        <v>0.9</v>
      </c>
      <c r="AL6" s="131">
        <f>E12</f>
        <v>4.2000000000000003E-2</v>
      </c>
      <c r="AM6" s="131">
        <f>E14</f>
        <v>0.45</v>
      </c>
      <c r="AQ6" s="131">
        <f>E18</f>
        <v>3</v>
      </c>
      <c r="AR6" s="131">
        <f>E16</f>
        <v>20</v>
      </c>
      <c r="AS6" s="131">
        <f>E20</f>
        <v>25</v>
      </c>
      <c r="AU6" s="131">
        <f>E22</f>
        <v>0.02</v>
      </c>
      <c r="AW6" s="131">
        <f>E24</f>
        <v>10</v>
      </c>
      <c r="AX6" s="131">
        <f>E26</f>
        <v>0.05</v>
      </c>
      <c r="AZ6" s="131">
        <f>E28</f>
        <v>10</v>
      </c>
      <c r="BA6" s="131">
        <f>E30</f>
        <v>0.2</v>
      </c>
    </row>
    <row r="7" spans="2:54" x14ac:dyDescent="0.2">
      <c r="B7" s="175"/>
      <c r="C7" s="124"/>
      <c r="D7" s="108"/>
      <c r="E7" s="178"/>
      <c r="F7" s="108"/>
      <c r="G7" s="108"/>
      <c r="H7" s="19"/>
      <c r="J7" s="121"/>
      <c r="K7" s="113" t="s">
        <v>58</v>
      </c>
      <c r="L7" s="174">
        <f>IF(E8=0,"",IF(E10=0,"",$E$6/$E$8/$E$10))</f>
        <v>4.1666666666666664E-2</v>
      </c>
      <c r="M7" s="115" t="s">
        <v>96</v>
      </c>
      <c r="N7" s="115"/>
      <c r="O7" s="115"/>
      <c r="P7" s="116"/>
      <c r="AI7" s="131"/>
      <c r="AJ7" s="131"/>
      <c r="AK7" s="131"/>
      <c r="AL7" s="131"/>
      <c r="AM7" s="131"/>
      <c r="AQ7" s="131"/>
      <c r="AR7" s="131"/>
      <c r="AS7" s="131"/>
      <c r="AU7" s="131"/>
      <c r="AW7" s="131"/>
      <c r="AX7" s="131"/>
      <c r="AZ7" s="131"/>
      <c r="BA7" s="131"/>
    </row>
    <row r="8" spans="2:54" ht="13.5" thickBot="1" x14ac:dyDescent="0.25">
      <c r="B8" s="175"/>
      <c r="C8" s="124" t="s">
        <v>105</v>
      </c>
      <c r="D8" s="108"/>
      <c r="E8" s="179">
        <v>2000</v>
      </c>
      <c r="F8" s="108" t="s">
        <v>106</v>
      </c>
      <c r="G8" s="108"/>
      <c r="H8" s="19"/>
      <c r="J8" s="127"/>
      <c r="K8" s="128"/>
      <c r="L8" s="129"/>
      <c r="M8" s="128"/>
      <c r="N8" s="128"/>
      <c r="O8" s="128"/>
      <c r="P8" s="130"/>
    </row>
    <row r="9" spans="2:54" x14ac:dyDescent="0.2">
      <c r="B9" s="175"/>
      <c r="C9" s="124"/>
      <c r="D9" s="108"/>
      <c r="E9" s="178"/>
      <c r="F9" s="108"/>
      <c r="G9" s="108"/>
      <c r="H9" s="19"/>
      <c r="L9" s="132"/>
    </row>
    <row r="10" spans="2:54" ht="18.75" thickBot="1" x14ac:dyDescent="0.3">
      <c r="B10" s="175"/>
      <c r="C10" s="124" t="s">
        <v>107</v>
      </c>
      <c r="D10" s="108"/>
      <c r="E10" s="180">
        <v>0.9</v>
      </c>
      <c r="F10" s="243" t="s">
        <v>397</v>
      </c>
      <c r="G10" s="108"/>
      <c r="H10" s="19"/>
      <c r="J10" s="95" t="s">
        <v>108</v>
      </c>
      <c r="L10" s="132"/>
    </row>
    <row r="11" spans="2:54" x14ac:dyDescent="0.2">
      <c r="B11" s="175"/>
      <c r="C11" s="124"/>
      <c r="D11" s="108"/>
      <c r="E11" s="178"/>
      <c r="F11" s="108"/>
      <c r="G11" s="108"/>
      <c r="H11" s="19"/>
      <c r="J11" s="104"/>
      <c r="K11" s="105"/>
      <c r="L11" s="136"/>
      <c r="M11" s="105"/>
      <c r="N11" s="105"/>
      <c r="O11" s="105"/>
      <c r="P11" s="106"/>
    </row>
    <row r="12" spans="2:54" x14ac:dyDescent="0.2">
      <c r="B12" s="175"/>
      <c r="C12" s="124" t="s">
        <v>109</v>
      </c>
      <c r="D12" s="108"/>
      <c r="E12" s="180">
        <v>4.2000000000000003E-2</v>
      </c>
      <c r="F12" s="243" t="s">
        <v>397</v>
      </c>
      <c r="G12" s="108"/>
      <c r="H12" s="19"/>
      <c r="J12" s="112"/>
      <c r="K12" s="113" t="s">
        <v>58</v>
      </c>
      <c r="L12" s="174">
        <f>IF(E12=0,"",IF(L16="","",L16/E12))</f>
        <v>1.0447035957240041</v>
      </c>
      <c r="M12" s="115" t="s">
        <v>94</v>
      </c>
      <c r="N12" s="115"/>
      <c r="O12" s="115"/>
      <c r="P12" s="116"/>
    </row>
    <row r="13" spans="2:54" x14ac:dyDescent="0.2">
      <c r="B13" s="175"/>
      <c r="C13" s="124"/>
      <c r="D13" s="108"/>
      <c r="E13" s="178"/>
      <c r="F13" s="108"/>
      <c r="G13" s="108"/>
      <c r="H13" s="19"/>
      <c r="J13" s="112"/>
      <c r="K13" s="118"/>
      <c r="L13" s="119"/>
      <c r="M13" s="120"/>
      <c r="N13" s="120"/>
      <c r="O13" s="120"/>
      <c r="P13" s="116"/>
    </row>
    <row r="14" spans="2:54" x14ac:dyDescent="0.2">
      <c r="B14" s="175"/>
      <c r="C14" s="124" t="s">
        <v>110</v>
      </c>
      <c r="D14" s="108"/>
      <c r="E14" s="180">
        <v>0.45</v>
      </c>
      <c r="F14" s="243" t="s">
        <v>397</v>
      </c>
      <c r="G14" s="108"/>
      <c r="H14" s="19"/>
      <c r="J14" s="121"/>
      <c r="K14" s="113" t="s">
        <v>58</v>
      </c>
      <c r="L14" s="174">
        <f>IF(E14=0,"",IF(L16="","",L16/E14))</f>
        <v>9.7505668934240369E-2</v>
      </c>
      <c r="M14" s="115" t="s">
        <v>95</v>
      </c>
      <c r="N14" s="115"/>
      <c r="O14" s="115"/>
      <c r="P14" s="116"/>
    </row>
    <row r="15" spans="2:54" x14ac:dyDescent="0.2">
      <c r="B15" s="175"/>
      <c r="C15" s="124"/>
      <c r="D15" s="108"/>
      <c r="E15" s="178"/>
      <c r="F15" s="108"/>
      <c r="G15" s="108"/>
      <c r="H15" s="19"/>
      <c r="J15" s="121"/>
      <c r="K15" s="118"/>
      <c r="L15" s="119"/>
      <c r="M15" s="120"/>
      <c r="N15" s="120"/>
      <c r="O15" s="120"/>
      <c r="P15" s="116"/>
    </row>
    <row r="16" spans="2:54" x14ac:dyDescent="0.2">
      <c r="B16" s="175"/>
      <c r="C16" s="124" t="s">
        <v>111</v>
      </c>
      <c r="D16" s="108"/>
      <c r="E16" s="179">
        <v>20</v>
      </c>
      <c r="F16" s="108" t="s">
        <v>80</v>
      </c>
      <c r="G16" s="108"/>
      <c r="H16" s="19"/>
      <c r="J16" s="121"/>
      <c r="K16" s="113" t="s">
        <v>58</v>
      </c>
      <c r="L16" s="174">
        <f>IF(E8=0,"",IF(E10=0,"",($E$6+$E$16*IF($E$20="",0,IF(E20=0,0,$E$18/E20)))/$E$8/$E$10/(1-$E$22)))</f>
        <v>4.3877551020408169E-2</v>
      </c>
      <c r="M16" s="115" t="s">
        <v>96</v>
      </c>
      <c r="N16" s="115"/>
      <c r="O16" s="115"/>
      <c r="P16" s="116"/>
    </row>
    <row r="17" spans="2:16" ht="13.5" thickBot="1" x14ac:dyDescent="0.25">
      <c r="B17" s="175"/>
      <c r="C17" s="124"/>
      <c r="D17" s="108"/>
      <c r="E17" s="178"/>
      <c r="F17" s="108"/>
      <c r="G17" s="108"/>
      <c r="H17" s="19"/>
      <c r="J17" s="127"/>
      <c r="K17" s="128"/>
      <c r="L17" s="129"/>
      <c r="M17" s="128"/>
      <c r="N17" s="128"/>
      <c r="O17" s="128"/>
      <c r="P17" s="130"/>
    </row>
    <row r="18" spans="2:16" x14ac:dyDescent="0.2">
      <c r="B18" s="175"/>
      <c r="C18" s="124" t="s">
        <v>112</v>
      </c>
      <c r="D18" s="155" t="s">
        <v>58</v>
      </c>
      <c r="E18" s="177">
        <v>3</v>
      </c>
      <c r="F18" s="108" t="s">
        <v>82</v>
      </c>
      <c r="G18" s="108"/>
      <c r="H18" s="19"/>
      <c r="L18" s="132"/>
    </row>
    <row r="19" spans="2:16" ht="18.75" thickBot="1" x14ac:dyDescent="0.3">
      <c r="B19" s="175"/>
      <c r="C19" s="124"/>
      <c r="D19" s="108"/>
      <c r="E19" s="178"/>
      <c r="F19" s="108"/>
      <c r="G19" s="108"/>
      <c r="H19" s="19"/>
      <c r="J19" s="95" t="s">
        <v>113</v>
      </c>
      <c r="L19" s="132"/>
    </row>
    <row r="20" spans="2:16" x14ac:dyDescent="0.2">
      <c r="B20" s="175"/>
      <c r="C20" s="124" t="str">
        <f>CONCATENATE("How many ",$F$20,"s are hauled per load?")</f>
        <v>How many tons are hauled per load?</v>
      </c>
      <c r="D20" s="108"/>
      <c r="E20" s="179">
        <v>25</v>
      </c>
      <c r="F20" s="108" t="str">
        <f>IF(E8=2000,"ton",IF(E8=100,"hundredweight",IF(E8&gt;31,IF(E8&lt;71,"bushel","unit"),"unit")))</f>
        <v>ton</v>
      </c>
      <c r="G20" s="108"/>
      <c r="H20" s="19"/>
      <c r="J20" s="104"/>
      <c r="K20" s="105"/>
      <c r="L20" s="136"/>
      <c r="M20" s="105"/>
      <c r="N20" s="105"/>
      <c r="O20" s="105"/>
      <c r="P20" s="106"/>
    </row>
    <row r="21" spans="2:16" x14ac:dyDescent="0.2">
      <c r="B21" s="175"/>
      <c r="C21" s="124"/>
      <c r="D21" s="108"/>
      <c r="E21" s="178"/>
      <c r="F21" s="108"/>
      <c r="G21" s="108"/>
      <c r="H21" s="19"/>
      <c r="J21" s="112"/>
      <c r="K21" s="113" t="s">
        <v>58</v>
      </c>
      <c r="L21" s="174">
        <f>IF(E12=0,"",IF(L25="","",L25/E12))</f>
        <v>1.2389249768411958</v>
      </c>
      <c r="M21" s="115" t="s">
        <v>94</v>
      </c>
      <c r="N21" s="115"/>
      <c r="O21" s="115"/>
      <c r="P21" s="116"/>
    </row>
    <row r="22" spans="2:16" x14ac:dyDescent="0.2">
      <c r="B22" s="175"/>
      <c r="C22" s="124" t="s">
        <v>114</v>
      </c>
      <c r="D22" s="108"/>
      <c r="E22" s="180">
        <v>0.02</v>
      </c>
      <c r="F22" s="108"/>
      <c r="G22" s="108"/>
      <c r="H22" s="19"/>
      <c r="J22" s="112"/>
      <c r="K22" s="118"/>
      <c r="L22" s="119"/>
      <c r="M22" s="120"/>
      <c r="N22" s="120"/>
      <c r="O22" s="120"/>
      <c r="P22" s="116"/>
    </row>
    <row r="23" spans="2:16" x14ac:dyDescent="0.2">
      <c r="B23" s="175"/>
      <c r="C23" s="124"/>
      <c r="D23" s="108"/>
      <c r="E23" s="178"/>
      <c r="F23" s="108"/>
      <c r="G23" s="108"/>
      <c r="H23" s="19"/>
      <c r="J23" s="121"/>
      <c r="K23" s="113" t="s">
        <v>58</v>
      </c>
      <c r="L23" s="174">
        <f>IF(E14=0,"",IF(L25="","",L25/E14))</f>
        <v>0.11563299783851162</v>
      </c>
      <c r="M23" s="115" t="s">
        <v>95</v>
      </c>
      <c r="N23" s="115"/>
      <c r="O23" s="115"/>
      <c r="P23" s="116"/>
    </row>
    <row r="24" spans="2:16" x14ac:dyDescent="0.2">
      <c r="B24" s="175"/>
      <c r="C24" s="124" t="s">
        <v>115</v>
      </c>
      <c r="D24" s="155" t="s">
        <v>58</v>
      </c>
      <c r="E24" s="177">
        <v>10</v>
      </c>
      <c r="F24" s="108" t="str">
        <f>CONCATENATE("per ",$F$20)</f>
        <v>per ton</v>
      </c>
      <c r="G24" s="108"/>
      <c r="H24" s="19"/>
      <c r="J24" s="121"/>
      <c r="K24" s="118"/>
      <c r="L24" s="119"/>
      <c r="M24" s="120"/>
      <c r="N24" s="120"/>
      <c r="O24" s="120"/>
      <c r="P24" s="116"/>
    </row>
    <row r="25" spans="2:16" x14ac:dyDescent="0.2">
      <c r="B25" s="175"/>
      <c r="C25" s="124"/>
      <c r="D25" s="108"/>
      <c r="E25" s="178"/>
      <c r="F25" s="108"/>
      <c r="G25" s="108"/>
      <c r="H25" s="19"/>
      <c r="J25" s="121"/>
      <c r="K25" s="113" t="s">
        <v>58</v>
      </c>
      <c r="L25" s="174">
        <f>IF(E8=0,"",IF(E10=0,"",IF(E20=0,"",(E6+E16*E18/E20+E24*(1-E22))/E8/E10/(1-E22)/(1-E26))))</f>
        <v>5.2034849027330229E-2</v>
      </c>
      <c r="M25" s="115" t="s">
        <v>96</v>
      </c>
      <c r="N25" s="115"/>
      <c r="O25" s="115"/>
      <c r="P25" s="116"/>
    </row>
    <row r="26" spans="2:16" ht="13.5" thickBot="1" x14ac:dyDescent="0.25">
      <c r="B26" s="175"/>
      <c r="C26" s="124" t="s">
        <v>116</v>
      </c>
      <c r="D26" s="108"/>
      <c r="E26" s="180">
        <v>0.05</v>
      </c>
      <c r="F26" s="108"/>
      <c r="G26" s="108"/>
      <c r="H26" s="19"/>
      <c r="J26" s="127"/>
      <c r="K26" s="128"/>
      <c r="L26" s="129"/>
      <c r="M26" s="128"/>
      <c r="N26" s="128"/>
      <c r="O26" s="128"/>
      <c r="P26" s="130"/>
    </row>
    <row r="27" spans="2:16" x14ac:dyDescent="0.2">
      <c r="B27" s="175"/>
      <c r="C27" s="124"/>
      <c r="D27" s="108"/>
      <c r="E27" s="178"/>
      <c r="F27" s="108"/>
      <c r="G27" s="108"/>
      <c r="H27" s="19"/>
      <c r="L27" s="132"/>
    </row>
    <row r="28" spans="2:16" ht="18.75" thickBot="1" x14ac:dyDescent="0.3">
      <c r="B28" s="175"/>
      <c r="C28" s="124" t="s">
        <v>117</v>
      </c>
      <c r="D28" s="155" t="s">
        <v>58</v>
      </c>
      <c r="E28" s="177">
        <v>10</v>
      </c>
      <c r="F28" s="108" t="str">
        <f>CONCATENATE("per ",$F$20)</f>
        <v>per ton</v>
      </c>
      <c r="G28" s="108"/>
      <c r="H28" s="19"/>
      <c r="J28" s="95" t="s">
        <v>118</v>
      </c>
      <c r="L28" s="132"/>
    </row>
    <row r="29" spans="2:16" x14ac:dyDescent="0.2">
      <c r="B29" s="175"/>
      <c r="C29" s="124"/>
      <c r="D29" s="108"/>
      <c r="E29" s="178"/>
      <c r="F29" s="108"/>
      <c r="G29" s="108"/>
      <c r="H29" s="19"/>
      <c r="J29" s="104"/>
      <c r="K29" s="105"/>
      <c r="L29" s="136"/>
      <c r="M29" s="105"/>
      <c r="N29" s="105"/>
      <c r="O29" s="105"/>
      <c r="P29" s="106"/>
    </row>
    <row r="30" spans="2:16" x14ac:dyDescent="0.2">
      <c r="B30" s="175"/>
      <c r="C30" s="124" t="s">
        <v>119</v>
      </c>
      <c r="D30" s="108"/>
      <c r="E30" s="180">
        <v>0.2</v>
      </c>
      <c r="F30" s="108"/>
      <c r="G30" s="108"/>
      <c r="H30" s="19"/>
      <c r="J30" s="112"/>
      <c r="K30" s="113" t="s">
        <v>58</v>
      </c>
      <c r="L30" s="174">
        <f>IF(E12=0,"",IF(L34=0,0,L34/E12))</f>
        <v>1.71400013639541</v>
      </c>
      <c r="M30" s="115" t="s">
        <v>94</v>
      </c>
      <c r="N30" s="115"/>
      <c r="O30" s="115"/>
      <c r="P30" s="116"/>
    </row>
    <row r="31" spans="2:16" ht="13.5" thickBot="1" x14ac:dyDescent="0.25">
      <c r="B31" s="36"/>
      <c r="C31" s="37"/>
      <c r="D31" s="37"/>
      <c r="E31" s="37"/>
      <c r="F31" s="37"/>
      <c r="G31" s="37"/>
      <c r="H31" s="38"/>
      <c r="J31" s="112"/>
      <c r="K31" s="118"/>
      <c r="L31" s="119"/>
      <c r="M31" s="120"/>
      <c r="N31" s="120"/>
      <c r="O31" s="120"/>
      <c r="P31" s="116"/>
    </row>
    <row r="32" spans="2:16" ht="13.5" thickBot="1" x14ac:dyDescent="0.25">
      <c r="J32" s="121"/>
      <c r="K32" s="113" t="s">
        <v>58</v>
      </c>
      <c r="L32" s="174">
        <f>IF(E14=0,"",IF(L34=0,0,L34/E14))</f>
        <v>0.15997334606357161</v>
      </c>
      <c r="M32" s="115" t="s">
        <v>95</v>
      </c>
      <c r="N32" s="115"/>
      <c r="O32" s="115"/>
      <c r="P32" s="116"/>
    </row>
    <row r="33" spans="2:16" x14ac:dyDescent="0.2">
      <c r="B33" s="104"/>
      <c r="C33" s="105"/>
      <c r="D33" s="105"/>
      <c r="E33" s="105"/>
      <c r="F33" s="105"/>
      <c r="G33" s="105"/>
      <c r="H33" s="106"/>
      <c r="J33" s="121"/>
      <c r="K33" s="118"/>
      <c r="L33" s="119"/>
      <c r="M33" s="120"/>
      <c r="N33" s="120"/>
      <c r="O33" s="120"/>
      <c r="P33" s="116"/>
    </row>
    <row r="34" spans="2:16" ht="18" x14ac:dyDescent="0.25">
      <c r="B34" s="121"/>
      <c r="C34" s="236" t="s">
        <v>160</v>
      </c>
      <c r="D34" s="120"/>
      <c r="E34" s="249">
        <f>IF(L34=0,0,L34*E10)</f>
        <v>6.4789205155746502E-2</v>
      </c>
      <c r="F34" s="249"/>
      <c r="G34" s="249"/>
      <c r="H34" s="250"/>
      <c r="J34" s="121"/>
      <c r="K34" s="113" t="s">
        <v>58</v>
      </c>
      <c r="L34" s="174">
        <f>IF(E8=0,0,IF(E10=0,0,IF(E20=0,0,(E6+E16*E18/E20+E24*(1-E22)+E28*(1-E22)*(1-E26))/E8/E10/(1-E22)/(1-E26)/(1-E30))))</f>
        <v>7.1988005728607224E-2</v>
      </c>
      <c r="M34" s="115" t="s">
        <v>96</v>
      </c>
      <c r="N34" s="115"/>
      <c r="O34" s="115"/>
      <c r="P34" s="116"/>
    </row>
    <row r="35" spans="2:16" ht="13.5" thickBot="1" x14ac:dyDescent="0.25">
      <c r="B35" s="127"/>
      <c r="C35" s="128"/>
      <c r="D35" s="128"/>
      <c r="E35" s="128"/>
      <c r="F35" s="128"/>
      <c r="G35" s="128"/>
      <c r="H35" s="130"/>
      <c r="J35" s="127"/>
      <c r="K35" s="128"/>
      <c r="L35" s="128"/>
      <c r="M35" s="128"/>
      <c r="N35" s="128"/>
      <c r="O35" s="128"/>
      <c r="P35" s="130"/>
    </row>
    <row r="37" spans="2:16" x14ac:dyDescent="0.2">
      <c r="B37" s="244" t="s">
        <v>397</v>
      </c>
      <c r="C37" s="246" t="s">
        <v>398</v>
      </c>
      <c r="D37" s="246"/>
      <c r="E37" s="246"/>
    </row>
  </sheetData>
  <sheetProtection sheet="1" objects="1" scenarios="1"/>
  <mergeCells count="3">
    <mergeCell ref="E4:G4"/>
    <mergeCell ref="E34:F34"/>
    <mergeCell ref="G34:H34"/>
  </mergeCells>
  <phoneticPr fontId="2" type="noConversion"/>
  <dataValidations count="2">
    <dataValidation type="decimal" operator="greaterThanOrEqual" allowBlank="1" showInputMessage="1" showErrorMessage="1" errorTitle="Restricted Data Entry" error="Only numbers greater or equal to zero may be entered in this cell." sqref="E6 E16 E18 E20 E22 E24 E26 E28 E30">
      <formula1>0</formula1>
    </dataValidation>
    <dataValidation type="decimal" operator="greaterThan" allowBlank="1" showInputMessage="1" showErrorMessage="1" errorTitle="Restricted Data Entry" error="Only numbers greater than zero may be entered into this cell." sqref="E8 E10 E12 E14">
      <formula1>0</formula1>
    </dataValidation>
  </dataValidations>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BE51"/>
  <sheetViews>
    <sheetView workbookViewId="0"/>
  </sheetViews>
  <sheetFormatPr defaultRowHeight="12.75" x14ac:dyDescent="0.2"/>
  <cols>
    <col min="1" max="1" width="2.140625" style="6" customWidth="1"/>
    <col min="2" max="2" width="5.42578125" style="6" customWidth="1"/>
    <col min="3" max="3" width="33.5703125" style="6" customWidth="1"/>
    <col min="4" max="4" width="11.7109375" style="6" customWidth="1"/>
    <col min="5" max="5" width="3" style="6" customWidth="1"/>
    <col min="6" max="6" width="14.42578125" style="6" customWidth="1"/>
    <col min="7" max="7" width="1.7109375" style="6" customWidth="1"/>
    <col min="8" max="8" width="11.7109375" style="6" customWidth="1"/>
    <col min="9" max="9" width="3.5703125" style="6" customWidth="1"/>
    <col min="10" max="10" width="12" style="6" customWidth="1"/>
    <col min="11" max="11" width="16.42578125" style="6" customWidth="1"/>
    <col min="12" max="12" width="5.28515625" style="6" customWidth="1"/>
    <col min="13" max="13" width="3.5703125" style="6" customWidth="1"/>
    <col min="14" max="14" width="2.7109375" style="6" customWidth="1"/>
    <col min="15" max="15" width="3.7109375" style="6" customWidth="1"/>
    <col min="16" max="17" width="9.140625" style="6"/>
    <col min="18" max="18" width="15.140625" style="6" customWidth="1"/>
    <col min="19" max="19" width="2.7109375" style="6" customWidth="1"/>
    <col min="20" max="20" width="4.5703125" style="6" customWidth="1"/>
    <col min="21" max="21" width="19.28515625" style="6" bestFit="1" customWidth="1"/>
    <col min="22" max="16384" width="9.140625" style="6"/>
  </cols>
  <sheetData>
    <row r="1" spans="2:57" ht="18.75" thickBot="1" x14ac:dyDescent="0.3">
      <c r="B1" s="95" t="s">
        <v>147</v>
      </c>
      <c r="N1" s="95" t="s">
        <v>52</v>
      </c>
    </row>
    <row r="2" spans="2:57" ht="12.75" customHeight="1" thickBot="1" x14ac:dyDescent="0.3">
      <c r="B2" s="96"/>
      <c r="C2" s="97"/>
      <c r="D2" s="97"/>
      <c r="E2" s="97"/>
      <c r="F2" s="97"/>
      <c r="G2" s="97"/>
      <c r="H2" s="97"/>
      <c r="I2" s="97"/>
      <c r="J2" s="254" t="s">
        <v>53</v>
      </c>
      <c r="K2" s="254"/>
      <c r="L2" s="52"/>
      <c r="N2" s="95"/>
    </row>
    <row r="3" spans="2:57" ht="12.75" customHeight="1" x14ac:dyDescent="0.2">
      <c r="B3" s="251" t="s">
        <v>54</v>
      </c>
      <c r="C3" s="98" t="s">
        <v>55</v>
      </c>
      <c r="D3" s="99"/>
      <c r="E3" s="99"/>
      <c r="F3" s="206">
        <v>200</v>
      </c>
      <c r="G3" s="100"/>
      <c r="H3" s="101" t="s">
        <v>56</v>
      </c>
      <c r="I3" s="101"/>
      <c r="J3" s="102">
        <f>IF(F3=0,0,(F3*38.2+429)*0.39)</f>
        <v>3146.9100000000003</v>
      </c>
      <c r="K3" s="103" t="s">
        <v>57</v>
      </c>
      <c r="L3" s="19"/>
      <c r="N3" s="104"/>
      <c r="O3" s="105"/>
      <c r="P3" s="105"/>
      <c r="Q3" s="105"/>
      <c r="R3" s="105"/>
      <c r="S3" s="106"/>
    </row>
    <row r="4" spans="2:57" ht="12.75" customHeight="1" x14ac:dyDescent="0.2">
      <c r="B4" s="252"/>
      <c r="C4" s="107"/>
      <c r="D4" s="108"/>
      <c r="E4" s="108"/>
      <c r="F4" s="109"/>
      <c r="G4" s="109"/>
      <c r="H4" s="108"/>
      <c r="I4" s="108"/>
      <c r="J4" s="110"/>
      <c r="K4" s="111"/>
      <c r="L4" s="19"/>
      <c r="N4" s="112"/>
      <c r="O4" s="235" t="s">
        <v>58</v>
      </c>
      <c r="P4" s="114">
        <f>IF(F18=0,0,IF(J13&gt;F13,"Error",P8/$F$18))</f>
        <v>3.9721504587039345E-2</v>
      </c>
      <c r="Q4" s="115" t="s">
        <v>94</v>
      </c>
      <c r="R4" s="115"/>
      <c r="S4" s="116"/>
    </row>
    <row r="5" spans="2:57" ht="12.75" customHeight="1" x14ac:dyDescent="0.2">
      <c r="B5" s="252"/>
      <c r="C5" s="107" t="s">
        <v>59</v>
      </c>
      <c r="D5" s="108"/>
      <c r="E5" s="108"/>
      <c r="F5" s="216">
        <v>0.5</v>
      </c>
      <c r="G5" s="217"/>
      <c r="H5" s="108"/>
      <c r="I5" s="108"/>
      <c r="J5" s="117">
        <f>J3*F5</f>
        <v>1573.4550000000002</v>
      </c>
      <c r="K5" s="111" t="s">
        <v>60</v>
      </c>
      <c r="L5" s="19"/>
      <c r="N5" s="112"/>
      <c r="O5" s="118"/>
      <c r="P5" s="119"/>
      <c r="Q5" s="120"/>
      <c r="R5" s="120"/>
      <c r="S5" s="116"/>
    </row>
    <row r="6" spans="2:57" ht="12.75" customHeight="1" x14ac:dyDescent="0.2">
      <c r="B6" s="252"/>
      <c r="C6" s="107"/>
      <c r="D6" s="108"/>
      <c r="E6" s="108"/>
      <c r="F6" s="109"/>
      <c r="G6" s="109"/>
      <c r="H6" s="108"/>
      <c r="I6" s="108"/>
      <c r="J6" s="258" t="str">
        <f>IF(J13&gt;F13,"Error! Acres rented is less than acres needed!","")</f>
        <v/>
      </c>
      <c r="K6" s="259"/>
      <c r="L6" s="19"/>
      <c r="N6" s="121"/>
      <c r="O6" s="235" t="s">
        <v>58</v>
      </c>
      <c r="P6" s="114">
        <f>IF(F20=0,0,IF(J13&gt;F13,"Error",P8/$F$20))</f>
        <v>5.6745006552913341E-3</v>
      </c>
      <c r="Q6" s="115" t="s">
        <v>95</v>
      </c>
      <c r="R6" s="115"/>
      <c r="S6" s="116"/>
    </row>
    <row r="7" spans="2:57" ht="12.75" customHeight="1" x14ac:dyDescent="0.2">
      <c r="B7" s="252"/>
      <c r="C7" s="107" t="s">
        <v>61</v>
      </c>
      <c r="D7" s="108"/>
      <c r="E7" s="108"/>
      <c r="F7" s="218">
        <v>90</v>
      </c>
      <c r="G7" s="109"/>
      <c r="H7" s="108" t="s">
        <v>62</v>
      </c>
      <c r="I7" s="108"/>
      <c r="J7" s="258"/>
      <c r="K7" s="259"/>
      <c r="L7" s="19"/>
      <c r="M7" s="123"/>
      <c r="N7" s="121"/>
      <c r="O7" s="118"/>
      <c r="P7" s="119"/>
      <c r="Q7" s="120"/>
      <c r="R7" s="120"/>
      <c r="S7" s="116"/>
    </row>
    <row r="8" spans="2:57" ht="12.75" customHeight="1" x14ac:dyDescent="0.2">
      <c r="B8" s="252"/>
      <c r="C8" s="107"/>
      <c r="D8" s="108"/>
      <c r="E8" s="108"/>
      <c r="F8" s="222" t="str">
        <f>IF($J$13&gt;$F$13,"Decrease number of animals to balance","")</f>
        <v/>
      </c>
      <c r="G8" s="109"/>
      <c r="H8" s="108"/>
      <c r="I8" s="108"/>
      <c r="J8" s="258"/>
      <c r="K8" s="259"/>
      <c r="L8" s="19"/>
      <c r="M8" s="123"/>
      <c r="N8" s="121"/>
      <c r="O8" s="235" t="s">
        <v>58</v>
      </c>
      <c r="P8" s="114">
        <f>IF(J3=0,0,IF(F13&gt;F13,"Error",F15/J3))</f>
        <v>3.1777203669631476E-3</v>
      </c>
      <c r="Q8" s="115" t="s">
        <v>96</v>
      </c>
      <c r="R8" s="115"/>
      <c r="S8" s="116"/>
    </row>
    <row r="9" spans="2:57" ht="12.75" customHeight="1" thickBot="1" x14ac:dyDescent="0.25">
      <c r="B9" s="252"/>
      <c r="C9" s="107" t="s">
        <v>63</v>
      </c>
      <c r="D9" s="124"/>
      <c r="E9" s="124"/>
      <c r="F9" s="125">
        <v>1000</v>
      </c>
      <c r="G9" s="126"/>
      <c r="H9" s="124"/>
      <c r="I9" s="124"/>
      <c r="J9" s="258"/>
      <c r="K9" s="259"/>
      <c r="L9" s="19"/>
      <c r="N9" s="127"/>
      <c r="O9" s="128"/>
      <c r="P9" s="129"/>
      <c r="Q9" s="128"/>
      <c r="R9" s="128"/>
      <c r="S9" s="130"/>
      <c r="AM9" s="131"/>
      <c r="AN9" s="131"/>
      <c r="AO9" s="131"/>
      <c r="AP9" s="131"/>
      <c r="AQ9" s="131"/>
      <c r="AU9" s="131"/>
      <c r="AV9" s="131"/>
      <c r="AW9" s="131"/>
      <c r="AY9" s="131"/>
      <c r="BA9" s="131"/>
      <c r="BB9" s="131"/>
      <c r="BD9" s="131"/>
      <c r="BE9" s="131"/>
    </row>
    <row r="10" spans="2:57" ht="12.75" customHeight="1" x14ac:dyDescent="0.2">
      <c r="B10" s="252"/>
      <c r="C10" s="107"/>
      <c r="D10" s="108"/>
      <c r="E10" s="108"/>
      <c r="F10" s="109"/>
      <c r="G10" s="109"/>
      <c r="H10" s="108"/>
      <c r="I10" s="108"/>
      <c r="J10" s="258"/>
      <c r="K10" s="259"/>
      <c r="L10" s="19"/>
      <c r="P10" s="132"/>
      <c r="S10" s="133"/>
      <c r="AM10" s="131"/>
      <c r="AN10" s="131"/>
      <c r="AO10" s="131"/>
      <c r="AP10" s="131"/>
      <c r="AQ10" s="131"/>
      <c r="AU10" s="131"/>
      <c r="AV10" s="131"/>
      <c r="AW10" s="131"/>
      <c r="AY10" s="131"/>
      <c r="BA10" s="131"/>
      <c r="BB10" s="131"/>
      <c r="BD10" s="131"/>
      <c r="BE10" s="131"/>
    </row>
    <row r="11" spans="2:57" ht="18.75" customHeight="1" thickBot="1" x14ac:dyDescent="0.3">
      <c r="B11" s="252"/>
      <c r="C11" s="107" t="s">
        <v>64</v>
      </c>
      <c r="D11" s="124"/>
      <c r="E11" s="124"/>
      <c r="F11" s="122">
        <v>100</v>
      </c>
      <c r="G11" s="109"/>
      <c r="H11" s="134" t="s">
        <v>65</v>
      </c>
      <c r="I11" s="134"/>
      <c r="J11" s="219">
        <f>F7*F11*F9/30000</f>
        <v>300</v>
      </c>
      <c r="K11" s="111" t="s">
        <v>66</v>
      </c>
      <c r="L11" s="19"/>
      <c r="N11" s="95" t="s">
        <v>67</v>
      </c>
      <c r="P11" s="132"/>
      <c r="S11" s="133"/>
    </row>
    <row r="12" spans="2:57" ht="12.75" customHeight="1" x14ac:dyDescent="0.2">
      <c r="B12" s="252"/>
      <c r="C12" s="135"/>
      <c r="D12" s="108"/>
      <c r="E12" s="108"/>
      <c r="F12" s="222" t="str">
        <f>IF($J$13&gt;$F$13,"Decrease days on stalks to balance","")</f>
        <v/>
      </c>
      <c r="G12" s="108"/>
      <c r="H12" s="108"/>
      <c r="I12" s="108"/>
      <c r="J12" s="260" t="str">
        <f>IF($J$13&lt;$F$13,"Acres rented exceeds needs.","")</f>
        <v>Acres rented exceeds needs.</v>
      </c>
      <c r="K12" s="261"/>
      <c r="L12" s="19"/>
      <c r="N12" s="104"/>
      <c r="O12" s="105"/>
      <c r="P12" s="136"/>
      <c r="Q12" s="105"/>
      <c r="R12" s="105"/>
      <c r="S12" s="106"/>
    </row>
    <row r="13" spans="2:57" ht="12.75" customHeight="1" x14ac:dyDescent="0.2">
      <c r="B13" s="252"/>
      <c r="C13" s="107" t="s">
        <v>68</v>
      </c>
      <c r="D13" s="124"/>
      <c r="E13" s="124"/>
      <c r="F13" s="218">
        <v>135</v>
      </c>
      <c r="G13" s="109"/>
      <c r="H13" s="134" t="s">
        <v>69</v>
      </c>
      <c r="I13" s="134"/>
      <c r="J13" s="219">
        <f>IF(J5=0,0,ROUND(J11*V25/J5,0))</f>
        <v>134</v>
      </c>
      <c r="K13" s="137" t="s">
        <v>70</v>
      </c>
      <c r="L13" s="19"/>
      <c r="N13" s="112"/>
      <c r="O13" s="235" t="s">
        <v>58</v>
      </c>
      <c r="P13" s="114">
        <f>IF(F5=0,0,IF(F18=0,0,IF(J13&gt;F13,"Error",P17/$F$18)))</f>
        <v>7.9443009174078691E-2</v>
      </c>
      <c r="Q13" s="115" t="s">
        <v>94</v>
      </c>
      <c r="R13" s="115"/>
      <c r="S13" s="116"/>
    </row>
    <row r="14" spans="2:57" ht="12.75" customHeight="1" x14ac:dyDescent="0.2">
      <c r="B14" s="252"/>
      <c r="C14" s="135"/>
      <c r="D14" s="108"/>
      <c r="E14" s="108"/>
      <c r="F14" s="222" t="str">
        <f>IF($J$13&gt;$F$13,"Increase acres rented to balance","")</f>
        <v/>
      </c>
      <c r="G14" s="108"/>
      <c r="H14" s="108"/>
      <c r="I14" s="108"/>
      <c r="J14" s="229">
        <f>F15*F13</f>
        <v>1350</v>
      </c>
      <c r="K14" s="228" t="s">
        <v>148</v>
      </c>
      <c r="L14" s="19"/>
      <c r="N14" s="112"/>
      <c r="O14" s="118"/>
      <c r="P14" s="119"/>
      <c r="Q14" s="120"/>
      <c r="R14" s="120"/>
      <c r="S14" s="116"/>
    </row>
    <row r="15" spans="2:57" ht="12.75" customHeight="1" x14ac:dyDescent="0.2">
      <c r="B15" s="253"/>
      <c r="C15" s="138" t="s">
        <v>71</v>
      </c>
      <c r="D15" s="139"/>
      <c r="E15" s="139" t="s">
        <v>58</v>
      </c>
      <c r="F15" s="140">
        <v>10</v>
      </c>
      <c r="G15" s="141"/>
      <c r="H15" s="142" t="s">
        <v>72</v>
      </c>
      <c r="I15" s="142"/>
      <c r="J15" s="233">
        <f>IF(F7=0,0,IF(F11=0,"",F15*F13/F7/F11))</f>
        <v>0.15</v>
      </c>
      <c r="K15" s="143" t="s">
        <v>73</v>
      </c>
      <c r="L15" s="144"/>
      <c r="N15" s="121"/>
      <c r="O15" s="235" t="s">
        <v>58</v>
      </c>
      <c r="P15" s="114">
        <f>IF(F5=0,0,IF(F20=0,0,IF(J13&gt;F13,"Error",P17/$F$20)))</f>
        <v>1.1349001310582668E-2</v>
      </c>
      <c r="Q15" s="115" t="s">
        <v>95</v>
      </c>
      <c r="R15" s="115"/>
      <c r="S15" s="116"/>
    </row>
    <row r="16" spans="2:57" ht="12.75" customHeight="1" x14ac:dyDescent="0.2">
      <c r="B16" s="145"/>
      <c r="C16" s="108"/>
      <c r="D16" s="108"/>
      <c r="E16" s="108"/>
      <c r="F16" s="108"/>
      <c r="G16" s="108"/>
      <c r="H16" s="108"/>
      <c r="I16" s="108"/>
      <c r="J16" s="234"/>
      <c r="K16" s="108"/>
      <c r="L16" s="144"/>
      <c r="N16" s="121"/>
      <c r="O16" s="118"/>
      <c r="P16" s="119"/>
      <c r="Q16" s="120"/>
      <c r="R16" s="120"/>
      <c r="S16" s="116"/>
    </row>
    <row r="17" spans="2:23" ht="12.75" customHeight="1" x14ac:dyDescent="0.2">
      <c r="B17" s="255" t="s">
        <v>74</v>
      </c>
      <c r="C17" s="231"/>
      <c r="D17" s="101"/>
      <c r="E17" s="101"/>
      <c r="F17" s="101"/>
      <c r="G17" s="146"/>
      <c r="H17" s="101"/>
      <c r="I17" s="101"/>
      <c r="J17" s="147"/>
      <c r="K17" s="103"/>
      <c r="L17" s="144"/>
      <c r="N17" s="121"/>
      <c r="O17" s="235" t="s">
        <v>58</v>
      </c>
      <c r="P17" s="114">
        <f>IF(J5=0,0,IF(J13&gt;F13,"Error",F15/J5))</f>
        <v>6.3554407339262951E-3</v>
      </c>
      <c r="Q17" s="115" t="s">
        <v>96</v>
      </c>
      <c r="R17" s="115"/>
      <c r="S17" s="116"/>
    </row>
    <row r="18" spans="2:23" ht="12.75" customHeight="1" thickBot="1" x14ac:dyDescent="0.25">
      <c r="B18" s="256"/>
      <c r="C18" s="124" t="s">
        <v>75</v>
      </c>
      <c r="D18" s="108"/>
      <c r="E18" s="108"/>
      <c r="F18" s="216">
        <v>0.08</v>
      </c>
      <c r="G18" s="217"/>
      <c r="H18" s="108"/>
      <c r="I18" s="108"/>
      <c r="J18" s="148"/>
      <c r="K18" s="111"/>
      <c r="L18" s="19"/>
      <c r="N18" s="127"/>
      <c r="O18" s="128"/>
      <c r="P18" s="129"/>
      <c r="Q18" s="128"/>
      <c r="R18" s="128"/>
      <c r="S18" s="130"/>
    </row>
    <row r="19" spans="2:23" ht="12.75" customHeight="1" x14ac:dyDescent="0.2">
      <c r="B19" s="256"/>
      <c r="C19" s="124"/>
      <c r="D19" s="108"/>
      <c r="E19" s="108"/>
      <c r="F19" s="108"/>
      <c r="G19" s="217"/>
      <c r="H19" s="108"/>
      <c r="I19" s="108"/>
      <c r="J19" s="148"/>
      <c r="K19" s="111"/>
      <c r="L19" s="19"/>
      <c r="P19" s="132"/>
      <c r="S19" s="133"/>
    </row>
    <row r="20" spans="2:23" ht="18.75" customHeight="1" thickBot="1" x14ac:dyDescent="0.3">
      <c r="B20" s="256"/>
      <c r="C20" s="124" t="s">
        <v>77</v>
      </c>
      <c r="D20" s="108"/>
      <c r="E20" s="108"/>
      <c r="F20" s="216">
        <v>0.56000000000000005</v>
      </c>
      <c r="G20" s="217"/>
      <c r="H20" s="108"/>
      <c r="I20" s="108"/>
      <c r="J20" s="148"/>
      <c r="K20" s="111"/>
      <c r="L20" s="19"/>
      <c r="N20" s="95" t="s">
        <v>76</v>
      </c>
      <c r="P20" s="132"/>
      <c r="S20" s="133"/>
    </row>
    <row r="21" spans="2:23" ht="12.75" customHeight="1" x14ac:dyDescent="0.2">
      <c r="B21" s="257"/>
      <c r="C21" s="232"/>
      <c r="D21" s="142"/>
      <c r="E21" s="142"/>
      <c r="F21" s="142"/>
      <c r="G21" s="149"/>
      <c r="H21" s="142"/>
      <c r="I21" s="142"/>
      <c r="J21" s="150"/>
      <c r="K21" s="151"/>
      <c r="L21" s="19"/>
      <c r="N21" s="104"/>
      <c r="O21" s="105"/>
      <c r="P21" s="136"/>
      <c r="Q21" s="105"/>
      <c r="R21" s="105"/>
      <c r="S21" s="106"/>
    </row>
    <row r="22" spans="2:23" ht="12.75" customHeight="1" x14ac:dyDescent="0.2">
      <c r="B22" s="152"/>
      <c r="C22" s="124"/>
      <c r="D22" s="108"/>
      <c r="E22" s="108"/>
      <c r="F22" s="109"/>
      <c r="G22" s="109"/>
      <c r="H22" s="108"/>
      <c r="I22" s="108"/>
      <c r="J22" s="234"/>
      <c r="K22" s="108"/>
      <c r="L22" s="19"/>
      <c r="N22" s="112"/>
      <c r="O22" s="235" t="s">
        <v>58</v>
      </c>
      <c r="P22" s="114">
        <f>IF(F18=0,0,IF(P26=0,0,IF(J13&gt;F13,"Error",P26/$F$18)))</f>
        <v>0.21184802446420986</v>
      </c>
      <c r="Q22" s="115" t="s">
        <v>94</v>
      </c>
      <c r="R22" s="115"/>
      <c r="S22" s="116"/>
    </row>
    <row r="23" spans="2:23" ht="12.75" customHeight="1" x14ac:dyDescent="0.2">
      <c r="B23" s="255" t="s">
        <v>78</v>
      </c>
      <c r="C23" s="98" t="s">
        <v>79</v>
      </c>
      <c r="D23" s="101"/>
      <c r="E23" s="101"/>
      <c r="F23" s="153">
        <v>75</v>
      </c>
      <c r="G23" s="154"/>
      <c r="H23" s="101" t="s">
        <v>80</v>
      </c>
      <c r="I23" s="101"/>
      <c r="J23" s="147"/>
      <c r="K23" s="103"/>
      <c r="L23" s="19"/>
      <c r="N23" s="112"/>
      <c r="O23" s="118"/>
      <c r="P23" s="119"/>
      <c r="Q23" s="120"/>
      <c r="R23" s="120"/>
      <c r="S23" s="116"/>
    </row>
    <row r="24" spans="2:23" ht="12.75" customHeight="1" x14ac:dyDescent="0.2">
      <c r="B24" s="256"/>
      <c r="C24" s="107"/>
      <c r="D24" s="108"/>
      <c r="E24" s="108"/>
      <c r="F24" s="109"/>
      <c r="G24" s="109"/>
      <c r="H24" s="108"/>
      <c r="I24" s="108"/>
      <c r="J24" s="229">
        <f>F23*F25</f>
        <v>375</v>
      </c>
      <c r="K24" s="228" t="s">
        <v>149</v>
      </c>
      <c r="L24" s="19"/>
      <c r="N24" s="121"/>
      <c r="O24" s="235" t="s">
        <v>58</v>
      </c>
      <c r="P24" s="114">
        <f>IF(F20=0,0,IF(P26=0,0,IF(J13&gt;F13,"Error",P26/$F$20)))</f>
        <v>3.0264003494887119E-2</v>
      </c>
      <c r="Q24" s="115" t="s">
        <v>95</v>
      </c>
      <c r="R24" s="115"/>
      <c r="S24" s="116"/>
      <c r="U24" s="212"/>
    </row>
    <row r="25" spans="2:23" ht="12.75" customHeight="1" x14ac:dyDescent="0.2">
      <c r="B25" s="256"/>
      <c r="C25" s="107" t="s">
        <v>81</v>
      </c>
      <c r="D25" s="108"/>
      <c r="E25" s="155" t="s">
        <v>58</v>
      </c>
      <c r="F25" s="156">
        <v>5</v>
      </c>
      <c r="G25" s="157"/>
      <c r="H25" s="108" t="s">
        <v>82</v>
      </c>
      <c r="I25" s="108"/>
      <c r="J25" s="229">
        <f>IF(F27=0,0,ROUNDUP(F7/F27,0)*J24*2)</f>
        <v>2250</v>
      </c>
      <c r="K25" s="228" t="s">
        <v>150</v>
      </c>
      <c r="L25" s="19"/>
      <c r="N25" s="121"/>
      <c r="O25" s="118"/>
      <c r="P25" s="119"/>
      <c r="Q25" s="120"/>
      <c r="R25" s="120"/>
      <c r="S25" s="116"/>
      <c r="V25" s="6">
        <v>702</v>
      </c>
      <c r="W25" s="6" t="s">
        <v>83</v>
      </c>
    </row>
    <row r="26" spans="2:23" ht="12.75" customHeight="1" x14ac:dyDescent="0.2">
      <c r="B26" s="256"/>
      <c r="C26" s="107"/>
      <c r="D26" s="108"/>
      <c r="E26" s="108"/>
      <c r="F26" s="109"/>
      <c r="G26" s="109"/>
      <c r="H26" s="108"/>
      <c r="I26" s="108"/>
      <c r="J26" s="230">
        <f>IF(F27=0,0,IF(F7=0,"",J25/F7))</f>
        <v>25</v>
      </c>
      <c r="K26" s="228" t="s">
        <v>151</v>
      </c>
      <c r="L26" s="19"/>
      <c r="N26" s="121"/>
      <c r="O26" s="235" t="s">
        <v>58</v>
      </c>
      <c r="P26" s="114">
        <f>IF(F13*J5=0,0,IF(J13&gt;F13,"Error",J25/(J5*F13)+P17))</f>
        <v>1.6947841957136788E-2</v>
      </c>
      <c r="Q26" s="115" t="s">
        <v>96</v>
      </c>
      <c r="R26" s="115"/>
      <c r="S26" s="116"/>
    </row>
    <row r="27" spans="2:23" ht="12.75" customHeight="1" thickBot="1" x14ac:dyDescent="0.25">
      <c r="B27" s="257"/>
      <c r="C27" s="138" t="s">
        <v>84</v>
      </c>
      <c r="D27" s="142"/>
      <c r="E27" s="142"/>
      <c r="F27" s="140">
        <v>35</v>
      </c>
      <c r="G27" s="141"/>
      <c r="H27" s="142"/>
      <c r="I27" s="142"/>
      <c r="J27" s="158"/>
      <c r="K27" s="151"/>
      <c r="L27" s="19"/>
      <c r="N27" s="127"/>
      <c r="O27" s="128"/>
      <c r="P27" s="129"/>
      <c r="Q27" s="128"/>
      <c r="R27" s="128"/>
      <c r="S27" s="130"/>
    </row>
    <row r="28" spans="2:23" ht="12.75" customHeight="1" x14ac:dyDescent="0.2">
      <c r="B28" s="152"/>
      <c r="C28" s="124"/>
      <c r="D28" s="108"/>
      <c r="E28" s="108"/>
      <c r="F28" s="109"/>
      <c r="G28" s="109"/>
      <c r="H28" s="108"/>
      <c r="I28" s="108"/>
      <c r="J28" s="234"/>
      <c r="K28" s="108"/>
      <c r="L28" s="19"/>
      <c r="S28" s="133"/>
    </row>
    <row r="29" spans="2:23" ht="18.75" customHeight="1" thickBot="1" x14ac:dyDescent="0.3">
      <c r="B29" s="255" t="s">
        <v>85</v>
      </c>
      <c r="C29" s="98" t="s">
        <v>86</v>
      </c>
      <c r="D29" s="101"/>
      <c r="E29" s="101"/>
      <c r="F29" s="153">
        <v>60</v>
      </c>
      <c r="G29" s="154"/>
      <c r="H29" s="101" t="s">
        <v>80</v>
      </c>
      <c r="I29" s="101"/>
      <c r="J29" s="147"/>
      <c r="K29" s="103"/>
      <c r="L29" s="19"/>
      <c r="N29" s="95" t="s">
        <v>87</v>
      </c>
      <c r="P29" s="132"/>
      <c r="S29" s="133"/>
    </row>
    <row r="30" spans="2:23" ht="12.75" customHeight="1" x14ac:dyDescent="0.2">
      <c r="B30" s="256"/>
      <c r="C30" s="107"/>
      <c r="D30" s="108"/>
      <c r="E30" s="108"/>
      <c r="F30" s="109"/>
      <c r="G30" s="109"/>
      <c r="H30" s="108"/>
      <c r="I30" s="108"/>
      <c r="J30" s="148"/>
      <c r="K30" s="111"/>
      <c r="L30" s="19"/>
      <c r="N30" s="104"/>
      <c r="O30" s="105"/>
      <c r="P30" s="136"/>
      <c r="Q30" s="105"/>
      <c r="R30" s="105"/>
      <c r="S30" s="106"/>
    </row>
    <row r="31" spans="2:23" ht="12.75" customHeight="1" x14ac:dyDescent="0.2">
      <c r="B31" s="256"/>
      <c r="C31" s="107" t="s">
        <v>88</v>
      </c>
      <c r="D31" s="108"/>
      <c r="E31" s="155" t="s">
        <v>58</v>
      </c>
      <c r="F31" s="156">
        <v>0.45</v>
      </c>
      <c r="G31" s="157"/>
      <c r="H31" s="108" t="s">
        <v>82</v>
      </c>
      <c r="I31" s="108"/>
      <c r="J31" s="229">
        <f>2*F31*F29+F33</f>
        <v>84</v>
      </c>
      <c r="K31" s="228" t="s">
        <v>152</v>
      </c>
      <c r="L31" s="19"/>
      <c r="N31" s="112"/>
      <c r="O31" s="235" t="s">
        <v>58</v>
      </c>
      <c r="P31" s="114">
        <f>IF(F18=0,0,IF(P35=0,0,IF(J13&gt;F13,"Error",P35/$F$18)))</f>
        <v>0.23656362731836766</v>
      </c>
      <c r="Q31" s="115" t="s">
        <v>94</v>
      </c>
      <c r="R31" s="115"/>
      <c r="S31" s="116"/>
    </row>
    <row r="32" spans="2:23" ht="12.75" customHeight="1" x14ac:dyDescent="0.2">
      <c r="B32" s="256"/>
      <c r="C32" s="107"/>
      <c r="D32" s="108"/>
      <c r="E32" s="108"/>
      <c r="F32" s="109"/>
      <c r="G32" s="109"/>
      <c r="H32" s="108"/>
      <c r="I32" s="108"/>
      <c r="J32" s="229">
        <f>J31*F35</f>
        <v>420</v>
      </c>
      <c r="K32" s="228" t="s">
        <v>153</v>
      </c>
      <c r="L32" s="19"/>
      <c r="N32" s="112"/>
      <c r="O32" s="118"/>
      <c r="P32" s="119"/>
      <c r="Q32" s="120"/>
      <c r="R32" s="120"/>
      <c r="S32" s="116"/>
    </row>
    <row r="33" spans="2:23" ht="12.75" customHeight="1" x14ac:dyDescent="0.2">
      <c r="B33" s="256"/>
      <c r="C33" s="107" t="s">
        <v>89</v>
      </c>
      <c r="D33" s="108"/>
      <c r="E33" s="108"/>
      <c r="F33" s="140">
        <v>30</v>
      </c>
      <c r="G33" s="109"/>
      <c r="H33" s="108"/>
      <c r="I33" s="108"/>
      <c r="J33" s="230">
        <f>IF(F7=0,0,J32/F7)</f>
        <v>4.666666666666667</v>
      </c>
      <c r="K33" s="228" t="s">
        <v>151</v>
      </c>
      <c r="L33" s="19"/>
      <c r="N33" s="121"/>
      <c r="O33" s="235" t="s">
        <v>58</v>
      </c>
      <c r="P33" s="114">
        <f>IF(F20=0,0,IF(P35=0,0,IF(J13&gt;F13,"Error",P35/$F$20)))</f>
        <v>3.3794803902623946E-2</v>
      </c>
      <c r="Q33" s="115" t="s">
        <v>95</v>
      </c>
      <c r="R33" s="115"/>
      <c r="S33" s="116"/>
    </row>
    <row r="34" spans="2:23" ht="12.75" customHeight="1" x14ac:dyDescent="0.2">
      <c r="B34" s="256"/>
      <c r="C34" s="107"/>
      <c r="D34" s="108"/>
      <c r="E34" s="108"/>
      <c r="F34" s="109"/>
      <c r="G34" s="109"/>
      <c r="H34" s="108"/>
      <c r="I34" s="108"/>
      <c r="J34" s="148"/>
      <c r="K34" s="111"/>
      <c r="L34" s="19"/>
      <c r="N34" s="121"/>
      <c r="O34" s="118"/>
      <c r="P34" s="119"/>
      <c r="Q34" s="120"/>
      <c r="R34" s="120"/>
      <c r="S34" s="116"/>
    </row>
    <row r="35" spans="2:23" ht="12.75" customHeight="1" x14ac:dyDescent="0.2">
      <c r="B35" s="257"/>
      <c r="C35" s="138" t="s">
        <v>90</v>
      </c>
      <c r="D35" s="142"/>
      <c r="E35" s="142"/>
      <c r="F35" s="140">
        <v>5</v>
      </c>
      <c r="G35" s="141"/>
      <c r="H35" s="142"/>
      <c r="I35" s="142"/>
      <c r="J35" s="158"/>
      <c r="K35" s="151"/>
      <c r="L35" s="19"/>
      <c r="N35" s="121"/>
      <c r="O35" s="235" t="s">
        <v>58</v>
      </c>
      <c r="P35" s="114">
        <f>IF(F13*J5=0,0,IF(J13&gt;F13,"Error",J32/(J5*F13)+P26))</f>
        <v>1.8925090185469413E-2</v>
      </c>
      <c r="Q35" s="115" t="s">
        <v>96</v>
      </c>
      <c r="R35" s="115"/>
      <c r="S35" s="116"/>
      <c r="V35" s="6">
        <f>IF(F7=0,0,(((F29*2*F31)+F33)*F35)/F7)</f>
        <v>4.666666666666667</v>
      </c>
      <c r="W35" s="6" t="s">
        <v>91</v>
      </c>
    </row>
    <row r="36" spans="2:23" ht="12.75" customHeight="1" thickBot="1" x14ac:dyDescent="0.25">
      <c r="B36" s="159"/>
      <c r="C36" s="160"/>
      <c r="D36" s="37"/>
      <c r="E36" s="37"/>
      <c r="F36" s="161"/>
      <c r="G36" s="161"/>
      <c r="H36" s="37"/>
      <c r="I36" s="37"/>
      <c r="J36" s="37"/>
      <c r="K36" s="37"/>
      <c r="L36" s="38"/>
      <c r="N36" s="127"/>
      <c r="O36" s="128"/>
      <c r="P36" s="129"/>
      <c r="Q36" s="128"/>
      <c r="R36" s="128"/>
      <c r="S36" s="130"/>
    </row>
    <row r="37" spans="2:23" ht="12.75" customHeight="1" thickBot="1" x14ac:dyDescent="0.25"/>
    <row r="38" spans="2:23" ht="18.75" customHeight="1" thickBot="1" x14ac:dyDescent="0.3">
      <c r="B38" s="104"/>
      <c r="C38" s="105"/>
      <c r="D38" s="105"/>
      <c r="E38" s="105"/>
      <c r="F38" s="105"/>
      <c r="G38" s="105"/>
      <c r="H38" s="106"/>
      <c r="N38" s="95" t="s">
        <v>141</v>
      </c>
    </row>
    <row r="39" spans="2:23" ht="18.75" customHeight="1" x14ac:dyDescent="0.25">
      <c r="B39" s="121"/>
      <c r="C39" s="236" t="s">
        <v>160</v>
      </c>
      <c r="D39" s="120"/>
      <c r="E39" s="237">
        <f>IF(L39="",0,L39*E15)</f>
        <v>0</v>
      </c>
      <c r="F39" s="237">
        <f>P35*0.9</f>
        <v>1.703258116692247E-2</v>
      </c>
      <c r="G39" s="237"/>
      <c r="H39" s="238"/>
      <c r="N39" s="104"/>
      <c r="O39" s="105"/>
      <c r="P39" s="105"/>
      <c r="Q39" s="105"/>
      <c r="R39" s="105"/>
      <c r="S39" s="106"/>
    </row>
    <row r="40" spans="2:23" ht="12.75" customHeight="1" thickBot="1" x14ac:dyDescent="0.25">
      <c r="B40" s="127"/>
      <c r="C40" s="128"/>
      <c r="D40" s="128"/>
      <c r="E40" s="128"/>
      <c r="F40" s="128"/>
      <c r="G40" s="128"/>
      <c r="H40" s="130"/>
      <c r="N40" s="207"/>
      <c r="O40" s="208" t="s">
        <v>3</v>
      </c>
      <c r="P40" s="120"/>
      <c r="Q40" s="120"/>
      <c r="R40" s="213">
        <f>IF(F3=0,0,((F3*38.2+429)*0.39)*F13*F5/F7/F11)</f>
        <v>23.601825000000005</v>
      </c>
      <c r="S40" s="116"/>
    </row>
    <row r="41" spans="2:23" ht="12.75" customHeight="1" x14ac:dyDescent="0.2">
      <c r="N41" s="207"/>
      <c r="O41" s="208" t="s">
        <v>5</v>
      </c>
      <c r="P41" s="120"/>
      <c r="Q41" s="120"/>
      <c r="R41" s="214">
        <f>F11</f>
        <v>100</v>
      </c>
      <c r="S41" s="116"/>
    </row>
    <row r="42" spans="2:23" ht="18.75" customHeight="1" thickBot="1" x14ac:dyDescent="0.3">
      <c r="B42" s="95" t="s">
        <v>157</v>
      </c>
      <c r="N42" s="207"/>
      <c r="O42" s="208" t="s">
        <v>7</v>
      </c>
      <c r="P42" s="120"/>
      <c r="Q42" s="120"/>
      <c r="R42" s="215">
        <f>F7</f>
        <v>90</v>
      </c>
      <c r="S42" s="116"/>
    </row>
    <row r="43" spans="2:23" ht="12.75" customHeight="1" thickBot="1" x14ac:dyDescent="0.25">
      <c r="B43" s="104"/>
      <c r="C43" s="105"/>
      <c r="D43" s="105"/>
      <c r="E43" s="105"/>
      <c r="F43" s="105"/>
      <c r="G43" s="105"/>
      <c r="H43" s="105"/>
      <c r="I43" s="105"/>
      <c r="J43" s="105"/>
      <c r="K43" s="105"/>
      <c r="L43" s="106"/>
      <c r="N43" s="127"/>
      <c r="O43" s="128"/>
      <c r="P43" s="128"/>
      <c r="Q43" s="128"/>
      <c r="R43" s="128"/>
      <c r="S43" s="130"/>
    </row>
    <row r="44" spans="2:23" ht="12.75" customHeight="1" x14ac:dyDescent="0.25">
      <c r="B44" s="121"/>
      <c r="C44" s="120"/>
      <c r="D44" s="162" t="s">
        <v>153</v>
      </c>
      <c r="E44" s="163" t="s">
        <v>92</v>
      </c>
      <c r="F44" s="164" t="s">
        <v>6</v>
      </c>
      <c r="G44" s="227" t="s">
        <v>93</v>
      </c>
      <c r="H44" s="164" t="s">
        <v>158</v>
      </c>
      <c r="I44" s="163" t="s">
        <v>93</v>
      </c>
      <c r="J44" s="164" t="s">
        <v>159</v>
      </c>
      <c r="K44" s="120"/>
      <c r="L44" s="116"/>
    </row>
    <row r="45" spans="2:23" ht="12.75" customHeight="1" x14ac:dyDescent="0.2">
      <c r="B45" s="121"/>
      <c r="C45" s="120"/>
      <c r="D45" s="120"/>
      <c r="E45" s="120"/>
      <c r="F45" s="120"/>
      <c r="G45" s="120"/>
      <c r="H45" s="120"/>
      <c r="I45" s="120"/>
      <c r="J45" s="120"/>
      <c r="K45" s="120"/>
      <c r="L45" s="116"/>
    </row>
    <row r="46" spans="2:23" ht="12.75" customHeight="1" x14ac:dyDescent="0.25">
      <c r="B46" s="121"/>
      <c r="C46" s="165" t="s">
        <v>154</v>
      </c>
      <c r="D46" s="166">
        <f>IF(J13&gt;F13,"Error",F46+H46+J46)</f>
        <v>4020</v>
      </c>
      <c r="E46" s="223" t="s">
        <v>92</v>
      </c>
      <c r="F46" s="167">
        <f>IF(J13&gt;F13,"Error",F15*F13)</f>
        <v>1350</v>
      </c>
      <c r="G46" s="220" t="s">
        <v>93</v>
      </c>
      <c r="H46" s="168">
        <f>IF(J13&gt;F13,"Error",J25)</f>
        <v>2250</v>
      </c>
      <c r="I46" s="223" t="s">
        <v>93</v>
      </c>
      <c r="J46" s="168">
        <f>IF(J13&gt;F13,"Error",J32)</f>
        <v>420</v>
      </c>
      <c r="K46" s="120"/>
      <c r="L46" s="116"/>
    </row>
    <row r="47" spans="2:23" ht="12.75" customHeight="1" x14ac:dyDescent="0.25">
      <c r="B47" s="121"/>
      <c r="C47" s="165"/>
      <c r="D47" s="166"/>
      <c r="E47" s="224"/>
      <c r="F47" s="169"/>
      <c r="G47" s="225"/>
      <c r="H47" s="169"/>
      <c r="I47" s="225"/>
      <c r="J47" s="169"/>
      <c r="K47" s="120"/>
      <c r="L47" s="116"/>
    </row>
    <row r="48" spans="2:23" ht="12.75" customHeight="1" x14ac:dyDescent="0.25">
      <c r="B48" s="121"/>
      <c r="C48" s="165" t="s">
        <v>155</v>
      </c>
      <c r="D48" s="170">
        <f>IF(F7=0,0,IF(J13&gt;F13,"Error",D46/F7))</f>
        <v>44.666666666666664</v>
      </c>
      <c r="E48" s="223" t="s">
        <v>92</v>
      </c>
      <c r="F48" s="171">
        <f>IF(F7=0,0,IF(J13&gt;F13,"Error",F46/F7))</f>
        <v>15</v>
      </c>
      <c r="G48" s="221" t="s">
        <v>93</v>
      </c>
      <c r="H48" s="172">
        <f>IF(J13&gt;F13,"Error",J26)</f>
        <v>25</v>
      </c>
      <c r="I48" s="226" t="s">
        <v>93</v>
      </c>
      <c r="J48" s="172">
        <f>IF(J13&gt;F13,"Error",J33)</f>
        <v>4.666666666666667</v>
      </c>
      <c r="K48" s="120"/>
      <c r="L48" s="116"/>
    </row>
    <row r="49" spans="2:12" ht="12.75" customHeight="1" x14ac:dyDescent="0.2">
      <c r="B49" s="121"/>
      <c r="C49" s="120"/>
      <c r="D49" s="120"/>
      <c r="E49" s="225"/>
      <c r="F49" s="169"/>
      <c r="G49" s="225"/>
      <c r="H49" s="169"/>
      <c r="I49" s="225"/>
      <c r="J49" s="169"/>
      <c r="K49" s="120"/>
      <c r="L49" s="116"/>
    </row>
    <row r="50" spans="2:12" ht="15.75" x14ac:dyDescent="0.25">
      <c r="B50" s="121"/>
      <c r="C50" s="165" t="s">
        <v>156</v>
      </c>
      <c r="D50" s="170">
        <f>IF(F11=0,0,IF(J13&gt;F13,"Error",D48/F11))</f>
        <v>0.44666666666666666</v>
      </c>
      <c r="E50" s="223" t="s">
        <v>92</v>
      </c>
      <c r="F50" s="171">
        <f>IF($F$11=0,0,IF(J13&gt;F13,"Error",F48/$F$11))</f>
        <v>0.15</v>
      </c>
      <c r="G50" s="220" t="s">
        <v>93</v>
      </c>
      <c r="H50" s="171">
        <f>IF($F$11=0,0,IF(J13&gt;F13,"Error",H48/$F$11))</f>
        <v>0.25</v>
      </c>
      <c r="I50" s="223" t="s">
        <v>93</v>
      </c>
      <c r="J50" s="171">
        <f>IF($F$11=0,0,IF(J13&gt;F13,"Error",J48/$F$11))</f>
        <v>4.6666666666666669E-2</v>
      </c>
      <c r="K50" s="120"/>
      <c r="L50" s="116"/>
    </row>
    <row r="51" spans="2:12" ht="13.5" thickBot="1" x14ac:dyDescent="0.25">
      <c r="B51" s="127"/>
      <c r="C51" s="128"/>
      <c r="D51" s="128"/>
      <c r="E51" s="128"/>
      <c r="F51" s="128"/>
      <c r="G51" s="128"/>
      <c r="H51" s="128"/>
      <c r="I51" s="128"/>
      <c r="J51" s="128"/>
      <c r="K51" s="128"/>
      <c r="L51" s="130"/>
    </row>
  </sheetData>
  <sheetProtection sheet="1" objects="1" scenarios="1"/>
  <mergeCells count="7">
    <mergeCell ref="B3:B15"/>
    <mergeCell ref="J2:K2"/>
    <mergeCell ref="B29:B35"/>
    <mergeCell ref="B23:B27"/>
    <mergeCell ref="B17:B21"/>
    <mergeCell ref="J6:K10"/>
    <mergeCell ref="J12:K12"/>
  </mergeCells>
  <phoneticPr fontId="2" type="noConversion"/>
  <dataValidations count="5">
    <dataValidation type="whole" operator="greaterThanOrEqual" allowBlank="1" showInputMessage="1" showErrorMessage="1" errorTitle="Restricted Data Entry" error="Only positive, whole numbers can be entered into this cell" sqref="R41:R42">
      <formula1>0</formula1>
    </dataValidation>
    <dataValidation type="decimal" operator="greaterThanOrEqual" allowBlank="1" showInputMessage="1" showErrorMessage="1" errorTitle="Restricted Data Entry" error="Only numbers greater than or equal to zero can be entered into this cell." sqref="F29:G29 F31:G31 F33:G33 F23:G23 F25:G25 F27:G27 F7:G7 F5:G5 F3:G3 F35:G35">
      <formula1>0</formula1>
    </dataValidation>
    <dataValidation type="decimal" operator="greaterThanOrEqual" allowBlank="1" showInputMessage="1" showErrorMessage="1" sqref="F36:G36 F30:G30 F34:G34 F26:G26 F24:G24 F28:G28 G8 F6:G6 F4:G4 F32:G32 F10:G10 F22:G22">
      <formula1>0</formula1>
    </dataValidation>
    <dataValidation type="decimal" operator="greaterThan" allowBlank="1" showInputMessage="1" showErrorMessage="1" errorTitle="Restricted Data Entry" error="Only numbers greater than zero can be entered into this cell." sqref="F20:G20 F17:G18 F15:G15">
      <formula1>0</formula1>
    </dataValidation>
    <dataValidation operator="greaterThanOrEqual" allowBlank="1" showInputMessage="1" showErrorMessage="1" sqref="F8 F12 F14 J12"/>
  </dataValidations>
  <pageMargins left="0.75" right="0.75" top="1" bottom="1" header="0.5" footer="0.5"/>
  <pageSetup orientation="portrait" horizontalDpi="4294967293"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5:W35"/>
  <sheetViews>
    <sheetView workbookViewId="0">
      <selection activeCell="E20" sqref="E20"/>
    </sheetView>
  </sheetViews>
  <sheetFormatPr defaultRowHeight="12.75" x14ac:dyDescent="0.2"/>
  <cols>
    <col min="1" max="1" width="4.42578125" customWidth="1"/>
    <col min="2" max="2" width="21.5703125" bestFit="1" customWidth="1"/>
    <col min="6" max="6" width="7.28515625" customWidth="1"/>
    <col min="7" max="7" width="7" customWidth="1"/>
    <col min="9" max="9" width="8.5703125" customWidth="1"/>
    <col min="10" max="10" width="8.28515625" customWidth="1"/>
    <col min="11" max="11" width="8" bestFit="1" customWidth="1"/>
    <col min="12" max="12" width="6.85546875" customWidth="1"/>
    <col min="13" max="13" width="8.42578125" bestFit="1" customWidth="1"/>
    <col min="14" max="14" width="7.140625" customWidth="1"/>
    <col min="15" max="15" width="8.5703125" customWidth="1"/>
    <col min="16" max="16" width="8.85546875" customWidth="1"/>
    <col min="17" max="17" width="7.42578125" bestFit="1" customWidth="1"/>
    <col min="18" max="18" width="7.42578125" customWidth="1"/>
    <col min="19" max="19" width="6.42578125" bestFit="1" customWidth="1"/>
    <col min="20" max="20" width="7.42578125" bestFit="1" customWidth="1"/>
    <col min="21" max="21" width="9.28515625" customWidth="1"/>
    <col min="22" max="22" width="10.140625" customWidth="1"/>
  </cols>
  <sheetData>
    <row r="5" spans="1:23" x14ac:dyDescent="0.2">
      <c r="B5" t="s">
        <v>134</v>
      </c>
    </row>
    <row r="7" spans="1:23" x14ac:dyDescent="0.2">
      <c r="B7">
        <v>1</v>
      </c>
      <c r="C7">
        <v>2</v>
      </c>
      <c r="D7">
        <v>3</v>
      </c>
      <c r="E7">
        <v>4</v>
      </c>
      <c r="F7">
        <v>5</v>
      </c>
      <c r="G7">
        <v>6</v>
      </c>
      <c r="H7">
        <v>7</v>
      </c>
      <c r="I7">
        <v>8</v>
      </c>
      <c r="J7">
        <v>9</v>
      </c>
      <c r="K7">
        <v>10</v>
      </c>
      <c r="L7">
        <v>11</v>
      </c>
      <c r="M7">
        <v>12</v>
      </c>
      <c r="N7">
        <v>13</v>
      </c>
      <c r="O7">
        <v>14</v>
      </c>
      <c r="P7">
        <v>15</v>
      </c>
      <c r="Q7">
        <v>16</v>
      </c>
      <c r="R7">
        <v>17</v>
      </c>
      <c r="S7">
        <v>18</v>
      </c>
      <c r="T7">
        <v>19</v>
      </c>
      <c r="U7">
        <v>20</v>
      </c>
      <c r="V7">
        <v>21</v>
      </c>
      <c r="W7">
        <v>22</v>
      </c>
    </row>
    <row r="8" spans="1:23" x14ac:dyDescent="0.2">
      <c r="E8" s="262" t="s">
        <v>135</v>
      </c>
      <c r="F8" s="262"/>
      <c r="G8" s="262"/>
      <c r="H8" s="262" t="s">
        <v>136</v>
      </c>
      <c r="I8" s="262"/>
      <c r="J8" s="262"/>
      <c r="K8" s="262" t="s">
        <v>40</v>
      </c>
      <c r="L8" s="262"/>
      <c r="M8" s="262"/>
      <c r="N8" s="262"/>
      <c r="O8" s="262"/>
      <c r="P8" s="262"/>
      <c r="Q8" s="262" t="s">
        <v>21</v>
      </c>
      <c r="R8" s="262"/>
      <c r="S8" s="262"/>
      <c r="T8" s="262" t="s">
        <v>49</v>
      </c>
      <c r="U8" s="262"/>
      <c r="V8" s="262"/>
    </row>
    <row r="9" spans="1:23" s="197" customFormat="1" ht="38.25" x14ac:dyDescent="0.2">
      <c r="B9" s="198" t="s">
        <v>6</v>
      </c>
      <c r="C9" s="199" t="s">
        <v>30</v>
      </c>
      <c r="D9" s="199" t="s">
        <v>100</v>
      </c>
      <c r="E9" s="199" t="s">
        <v>33</v>
      </c>
      <c r="F9" s="199" t="s">
        <v>101</v>
      </c>
      <c r="G9" s="199" t="s">
        <v>102</v>
      </c>
      <c r="H9" s="199" t="s">
        <v>101</v>
      </c>
      <c r="I9" s="199" t="s">
        <v>102</v>
      </c>
      <c r="J9" s="199" t="s">
        <v>137</v>
      </c>
      <c r="K9" s="199" t="s">
        <v>41</v>
      </c>
      <c r="L9" s="199" t="s">
        <v>80</v>
      </c>
      <c r="M9" s="199" t="s">
        <v>42</v>
      </c>
      <c r="N9" s="199" t="s">
        <v>18</v>
      </c>
      <c r="O9" s="199" t="s">
        <v>44</v>
      </c>
      <c r="P9" s="199" t="s">
        <v>138</v>
      </c>
      <c r="Q9" s="199" t="s">
        <v>30</v>
      </c>
      <c r="R9" s="199" t="s">
        <v>44</v>
      </c>
      <c r="S9" s="199" t="s">
        <v>26</v>
      </c>
      <c r="T9" s="199" t="s">
        <v>30</v>
      </c>
      <c r="U9" s="199" t="s">
        <v>44</v>
      </c>
      <c r="V9" s="199" t="s">
        <v>103</v>
      </c>
      <c r="W9" s="197" t="s">
        <v>139</v>
      </c>
    </row>
    <row r="10" spans="1:23" x14ac:dyDescent="0.2">
      <c r="A10" s="200">
        <v>1</v>
      </c>
      <c r="B10" s="201" t="str">
        <f>'F1'!$E$4</f>
        <v>Grass Hay (Premium)</v>
      </c>
      <c r="C10" s="201">
        <f>'F1'!$E$6</f>
        <v>250</v>
      </c>
      <c r="D10" s="201">
        <f>'F1'!$E$8</f>
        <v>2000</v>
      </c>
      <c r="E10" s="205">
        <f>'F1'!$E$10</f>
        <v>0.9</v>
      </c>
      <c r="F10" s="205">
        <f>'F1'!$E$12</f>
        <v>0.13</v>
      </c>
      <c r="G10" s="205">
        <f>'F1'!$E$14</f>
        <v>0.56999999999999995</v>
      </c>
      <c r="H10" s="203">
        <f t="shared" ref="H10:H19" si="0">IF(D10=0,"",IF(F10=0,"",(($C10+$N10+$Q10*$P10+$T10*$S10)/$E10)/($D10*(1-$O10)*(1-$R10)*(1-$U10)*F10)))</f>
        <v>1.362252288178214</v>
      </c>
      <c r="I10" s="203">
        <f t="shared" ref="I10:I19" si="1">IF(E10=0,"",IF(G10=0,"",(($C10+$N10+$Q10*$P10+$T10*$S10)/$E10)/($D10*(1-$O10)*(1-$R10)*(1-$U10)*G10)))</f>
        <v>0.31068911835643481</v>
      </c>
      <c r="J10" s="203">
        <f t="shared" ref="J10:J19" si="2">IF(E10=0,"",(($C10+$N10+$Q10*$P10+$T10*$S10)/$E10)/($D10*(1-$O10)*(1-$R10)*(1-$U10)*E10))</f>
        <v>0.19676977495907538</v>
      </c>
      <c r="K10" s="201">
        <f>'F1'!$E$18</f>
        <v>4.5</v>
      </c>
      <c r="L10" s="201">
        <f>'F1'!$E$16</f>
        <v>100</v>
      </c>
      <c r="M10" s="201">
        <f>'F1'!$E$20</f>
        <v>20</v>
      </c>
      <c r="N10" s="201">
        <f t="shared" ref="N10:N18" si="3">IF(M10=0,0,K10*L10/M10)</f>
        <v>22.5</v>
      </c>
      <c r="O10" s="205">
        <f>'F1'!$E$22</f>
        <v>0.01</v>
      </c>
      <c r="P10" s="204">
        <f t="shared" ref="P10:P18" si="4">(1-O10)</f>
        <v>0.99</v>
      </c>
      <c r="Q10" s="201">
        <f>'F1'!$E$24</f>
        <v>1</v>
      </c>
      <c r="R10" s="205">
        <f>'F1'!$E$26</f>
        <v>0.02</v>
      </c>
      <c r="S10" s="201">
        <f t="shared" ref="S10:S18" si="5">P10*(1-R10)</f>
        <v>0.97019999999999995</v>
      </c>
      <c r="T10" s="201">
        <f>'F1'!$E$28</f>
        <v>5</v>
      </c>
      <c r="U10" s="205">
        <f>'F1'!$E$30</f>
        <v>0.1</v>
      </c>
      <c r="V10" s="201">
        <f t="shared" ref="V10:V18" si="6">S10*(1-U10)</f>
        <v>0.87317999999999996</v>
      </c>
      <c r="W10" s="201" t="str">
        <f>'F1'!$F$20</f>
        <v>ton</v>
      </c>
    </row>
    <row r="11" spans="1:23" x14ac:dyDescent="0.2">
      <c r="A11" s="200">
        <v>2</v>
      </c>
      <c r="B11" s="201" t="str">
        <f>'F2'!$E$4</f>
        <v>Grass Hay</v>
      </c>
      <c r="C11" s="201">
        <f>'F2'!$E$6</f>
        <v>200</v>
      </c>
      <c r="D11" s="201">
        <f>'F2'!$E$8</f>
        <v>2000</v>
      </c>
      <c r="E11" s="205">
        <f>'F2'!$E$10</f>
        <v>0.9</v>
      </c>
      <c r="F11" s="205">
        <f>'F2'!$E$12</f>
        <v>0.11</v>
      </c>
      <c r="G11" s="205">
        <f>'F2'!$E$14</f>
        <v>0.5</v>
      </c>
      <c r="H11" s="203">
        <f t="shared" si="0"/>
        <v>1.3295247698099748</v>
      </c>
      <c r="I11" s="203">
        <f t="shared" si="1"/>
        <v>0.29249544935819449</v>
      </c>
      <c r="J11" s="203">
        <f t="shared" si="2"/>
        <v>0.1624974718656636</v>
      </c>
      <c r="K11" s="201">
        <f>'F2'!$E$18</f>
        <v>4.5</v>
      </c>
      <c r="L11" s="201">
        <f>'F2'!$E$16</f>
        <v>50</v>
      </c>
      <c r="M11" s="201">
        <f>'F2'!$E$20</f>
        <v>20</v>
      </c>
      <c r="N11" s="201">
        <f t="shared" si="3"/>
        <v>11.25</v>
      </c>
      <c r="O11" s="205">
        <f>'F2'!$E$22</f>
        <v>0.01</v>
      </c>
      <c r="P11" s="204">
        <f t="shared" si="4"/>
        <v>0.99</v>
      </c>
      <c r="Q11" s="201">
        <f>'F2'!$E$24</f>
        <v>1</v>
      </c>
      <c r="R11" s="205">
        <f>'F2'!$E$26</f>
        <v>0.02</v>
      </c>
      <c r="S11" s="201">
        <f t="shared" si="5"/>
        <v>0.97019999999999995</v>
      </c>
      <c r="T11" s="201">
        <f>'F2'!$E$28</f>
        <v>5</v>
      </c>
      <c r="U11" s="205">
        <f>'F2'!$E$30</f>
        <v>0.15</v>
      </c>
      <c r="V11" s="201">
        <f t="shared" si="6"/>
        <v>0.8246699999999999</v>
      </c>
      <c r="W11" s="201" t="str">
        <f>'F2'!$F$20</f>
        <v>ton</v>
      </c>
    </row>
    <row r="12" spans="1:23" x14ac:dyDescent="0.2">
      <c r="A12" s="200">
        <v>3</v>
      </c>
      <c r="B12" s="201" t="str">
        <f>'F3'!$E$4</f>
        <v>Alfalfa Hay (Good)</v>
      </c>
      <c r="C12" s="201">
        <f>'F3'!$E$6</f>
        <v>300</v>
      </c>
      <c r="D12" s="201">
        <f>'F3'!$E$8</f>
        <v>2000</v>
      </c>
      <c r="E12" s="205">
        <f>'F3'!$E$10</f>
        <v>0.9</v>
      </c>
      <c r="F12" s="205">
        <f>'F3'!$E$12</f>
        <v>0.184</v>
      </c>
      <c r="G12" s="205">
        <f>'F3'!$E$14</f>
        <v>0.59</v>
      </c>
      <c r="H12" s="203">
        <f t="shared" si="0"/>
        <v>1.1098911482977547</v>
      </c>
      <c r="I12" s="203">
        <f t="shared" si="1"/>
        <v>0.34613554455387613</v>
      </c>
      <c r="J12" s="203">
        <f t="shared" si="2"/>
        <v>0.22691107920754097</v>
      </c>
      <c r="K12" s="201">
        <f>'F3'!$E$18</f>
        <v>4.5</v>
      </c>
      <c r="L12" s="201">
        <f>'F3'!$E$16</f>
        <v>80</v>
      </c>
      <c r="M12" s="201">
        <f>'F3'!$E$20</f>
        <v>20</v>
      </c>
      <c r="N12" s="201">
        <f t="shared" si="3"/>
        <v>18</v>
      </c>
      <c r="O12" s="205">
        <f>'F3'!$E$22</f>
        <v>5.0000000000000001E-3</v>
      </c>
      <c r="P12" s="204">
        <f t="shared" si="4"/>
        <v>0.995</v>
      </c>
      <c r="Q12" s="201">
        <f>'F3'!$E$24</f>
        <v>1</v>
      </c>
      <c r="R12" s="205">
        <f>'F3'!$E$26</f>
        <v>0.01</v>
      </c>
      <c r="S12" s="201">
        <f t="shared" si="5"/>
        <v>0.98504999999999998</v>
      </c>
      <c r="T12" s="201">
        <f>'F3'!$E$28</f>
        <v>7</v>
      </c>
      <c r="U12" s="205">
        <f>'F3'!$E$30</f>
        <v>0.1</v>
      </c>
      <c r="V12" s="201">
        <f t="shared" si="6"/>
        <v>0.88654500000000003</v>
      </c>
      <c r="W12" s="201" t="str">
        <f>'F3'!$F$20</f>
        <v>ton</v>
      </c>
    </row>
    <row r="13" spans="1:23" x14ac:dyDescent="0.2">
      <c r="A13" s="200">
        <v>4</v>
      </c>
      <c r="B13" s="201" t="str">
        <f>'F4'!$E$4</f>
        <v>Corn</v>
      </c>
      <c r="C13" s="201">
        <f>'F4'!$E$6</f>
        <v>6.5</v>
      </c>
      <c r="D13" s="201">
        <f>'F4'!$E$8</f>
        <v>56</v>
      </c>
      <c r="E13" s="205">
        <f>'F4'!$E$10</f>
        <v>0.88</v>
      </c>
      <c r="F13" s="205">
        <f>'F4'!$E$12</f>
        <v>0.09</v>
      </c>
      <c r="G13" s="205">
        <f>'F4'!$E$14</f>
        <v>0.77</v>
      </c>
      <c r="H13" s="203">
        <f t="shared" si="0"/>
        <v>1.7474866849289989</v>
      </c>
      <c r="I13" s="203">
        <f t="shared" si="1"/>
        <v>0.20425169044624661</v>
      </c>
      <c r="J13" s="203">
        <f t="shared" si="2"/>
        <v>0.17872022914046579</v>
      </c>
      <c r="K13" s="201">
        <f>'F4'!$E$18</f>
        <v>5</v>
      </c>
      <c r="L13" s="201">
        <f>'F4'!$E$16</f>
        <v>60</v>
      </c>
      <c r="M13" s="201">
        <f>'F4'!$E$20</f>
        <v>900</v>
      </c>
      <c r="N13" s="201">
        <f t="shared" si="3"/>
        <v>0.33333333333333331</v>
      </c>
      <c r="O13" s="205">
        <f>'F4'!$E$22</f>
        <v>5.0000000000000001E-3</v>
      </c>
      <c r="P13" s="204">
        <f t="shared" si="4"/>
        <v>0.995</v>
      </c>
      <c r="Q13" s="201">
        <f>'F4'!$E$24</f>
        <v>0.25</v>
      </c>
      <c r="R13" s="205">
        <f>'F4'!$E$26</f>
        <v>0.02</v>
      </c>
      <c r="S13" s="201">
        <f t="shared" si="5"/>
        <v>0.97509999999999997</v>
      </c>
      <c r="T13" s="201">
        <f>'F4'!$E$28</f>
        <v>0.1</v>
      </c>
      <c r="U13" s="205">
        <f>'F4'!$E$30</f>
        <v>0.05</v>
      </c>
      <c r="V13" s="201">
        <f t="shared" si="6"/>
        <v>0.92634499999999997</v>
      </c>
      <c r="W13" s="201" t="str">
        <f>'F4'!$F$20</f>
        <v>bushel</v>
      </c>
    </row>
    <row r="14" spans="1:23" x14ac:dyDescent="0.2">
      <c r="A14" s="200">
        <v>5</v>
      </c>
      <c r="B14" s="201" t="str">
        <f>'F5'!$E$4</f>
        <v>Oats</v>
      </c>
      <c r="C14" s="201">
        <f>'F5'!$E$6</f>
        <v>6</v>
      </c>
      <c r="D14" s="201">
        <f>'F5'!$E$8</f>
        <v>32</v>
      </c>
      <c r="E14" s="205">
        <f>'F5'!$E$10</f>
        <v>0.89</v>
      </c>
      <c r="F14" s="205">
        <f>'F5'!$E$12</f>
        <v>0.13600000000000001</v>
      </c>
      <c r="G14" s="205">
        <f>'F5'!$E$14</f>
        <v>0.77</v>
      </c>
      <c r="H14" s="203">
        <f t="shared" si="0"/>
        <v>1.8050528200560487</v>
      </c>
      <c r="I14" s="203">
        <f t="shared" si="1"/>
        <v>0.31881452406184757</v>
      </c>
      <c r="J14" s="203">
        <f t="shared" si="2"/>
        <v>0.27582829609845239</v>
      </c>
      <c r="K14" s="201">
        <f>'F5'!$E$18</f>
        <v>5</v>
      </c>
      <c r="L14" s="201">
        <f>'F5'!$E$16</f>
        <v>75</v>
      </c>
      <c r="M14" s="201">
        <f>'F5'!$E$20</f>
        <v>1500</v>
      </c>
      <c r="N14" s="201">
        <f t="shared" si="3"/>
        <v>0.25</v>
      </c>
      <c r="O14" s="205">
        <f>'F5'!$E$22</f>
        <v>0.02</v>
      </c>
      <c r="P14" s="204">
        <f t="shared" si="4"/>
        <v>0.98</v>
      </c>
      <c r="Q14" s="201">
        <f>'F5'!$E$24</f>
        <v>0.01</v>
      </c>
      <c r="R14" s="205">
        <f>'F5'!$E$26</f>
        <v>0.01</v>
      </c>
      <c r="S14" s="201">
        <f t="shared" si="5"/>
        <v>0.97019999999999995</v>
      </c>
      <c r="T14" s="201">
        <f>'F5'!$E$28</f>
        <v>0.05</v>
      </c>
      <c r="U14" s="205">
        <f>'F5'!$E$30</f>
        <v>7.0000000000000007E-2</v>
      </c>
      <c r="V14" s="201">
        <f t="shared" si="6"/>
        <v>0.90228599999999992</v>
      </c>
      <c r="W14" s="201" t="str">
        <f>'F5'!$F$20</f>
        <v>bushel</v>
      </c>
    </row>
    <row r="15" spans="1:23" x14ac:dyDescent="0.2">
      <c r="A15" s="200">
        <v>6</v>
      </c>
      <c r="B15" s="201" t="str">
        <f>'F6'!$E$4</f>
        <v>Barley</v>
      </c>
      <c r="C15" s="201">
        <f>'F6'!$E$6</f>
        <v>5.5</v>
      </c>
      <c r="D15" s="201">
        <f>'F8'!$E$8</f>
        <v>2000</v>
      </c>
      <c r="E15" s="205">
        <f>'F6'!$E$10</f>
        <v>0.89</v>
      </c>
      <c r="F15" s="205">
        <f>'F6'!$E$12</f>
        <v>0.12</v>
      </c>
      <c r="G15" s="205">
        <f>'F6'!$E$14</f>
        <v>0.83</v>
      </c>
      <c r="H15" s="203">
        <f t="shared" si="0"/>
        <v>2.9704718654433498E-2</v>
      </c>
      <c r="I15" s="203">
        <f t="shared" si="1"/>
        <v>4.2946581187132769E-3</v>
      </c>
      <c r="J15" s="203">
        <f t="shared" si="2"/>
        <v>4.0051306050921569E-3</v>
      </c>
      <c r="K15" s="201">
        <f>'F6'!$E$18</f>
        <v>5</v>
      </c>
      <c r="L15" s="201">
        <f>'F6'!$E$16</f>
        <v>75</v>
      </c>
      <c r="M15" s="201">
        <f>'F6'!$E$20</f>
        <v>1100</v>
      </c>
      <c r="N15" s="201">
        <f t="shared" si="3"/>
        <v>0.34090909090909088</v>
      </c>
      <c r="O15" s="205">
        <f>'F6'!$E$22</f>
        <v>0.01</v>
      </c>
      <c r="P15" s="204">
        <f t="shared" si="4"/>
        <v>0.99</v>
      </c>
      <c r="Q15" s="201">
        <f>'F6'!$E$24</f>
        <v>0.04</v>
      </c>
      <c r="R15" s="205">
        <f>'F6'!$E$26</f>
        <v>0.02</v>
      </c>
      <c r="S15" s="201">
        <f t="shared" si="5"/>
        <v>0.97019999999999995</v>
      </c>
      <c r="T15" s="201">
        <f>'F6'!$E$28</f>
        <v>0.03</v>
      </c>
      <c r="U15" s="205">
        <f>'F6'!$E$30</f>
        <v>0.04</v>
      </c>
      <c r="V15" s="201">
        <f t="shared" si="6"/>
        <v>0.93139199999999989</v>
      </c>
      <c r="W15" s="201" t="str">
        <f>'F6'!$F$20</f>
        <v>bushel</v>
      </c>
    </row>
    <row r="16" spans="1:23" x14ac:dyDescent="0.2">
      <c r="A16" s="200">
        <v>7</v>
      </c>
      <c r="B16" s="201" t="str">
        <f>'F7'!$E$4</f>
        <v>Wheat Screening</v>
      </c>
      <c r="C16" s="201">
        <f>'F7'!$E$6</f>
        <v>300</v>
      </c>
      <c r="D16" s="201">
        <f>'F7'!$E$8</f>
        <v>2000</v>
      </c>
      <c r="E16" s="205">
        <f>'F7'!$E$10</f>
        <v>0.89</v>
      </c>
      <c r="F16" s="205">
        <f>'F7'!$E$12</f>
        <v>0.12</v>
      </c>
      <c r="G16" s="205">
        <f>'F7'!$E$14</f>
        <v>0.71</v>
      </c>
      <c r="H16" s="203">
        <f t="shared" si="0"/>
        <v>2.2092138265928236</v>
      </c>
      <c r="I16" s="203">
        <f t="shared" si="1"/>
        <v>0.37338825238188567</v>
      </c>
      <c r="J16" s="203">
        <f t="shared" si="2"/>
        <v>0.29787152718105486</v>
      </c>
      <c r="K16" s="201">
        <f>'F7'!$E$18</f>
        <v>5</v>
      </c>
      <c r="L16" s="201">
        <f>'F7'!$E$16</f>
        <v>100</v>
      </c>
      <c r="M16" s="201">
        <f>'F7'!$E$20</f>
        <v>20</v>
      </c>
      <c r="N16" s="201">
        <f t="shared" si="3"/>
        <v>25</v>
      </c>
      <c r="O16" s="205">
        <f>'F7'!$E$22</f>
        <v>0.03</v>
      </c>
      <c r="P16" s="204">
        <f t="shared" si="4"/>
        <v>0.97</v>
      </c>
      <c r="Q16" s="201">
        <f>'F7'!$E$24</f>
        <v>75</v>
      </c>
      <c r="R16" s="205">
        <f>'F7'!$E$26</f>
        <v>0.04</v>
      </c>
      <c r="S16" s="201">
        <f t="shared" si="5"/>
        <v>0.93119999999999992</v>
      </c>
      <c r="T16" s="201">
        <f>'F7'!$E$28</f>
        <v>7</v>
      </c>
      <c r="U16" s="205">
        <f>'F7'!$E$30</f>
        <v>0.08</v>
      </c>
      <c r="V16" s="201">
        <f t="shared" si="6"/>
        <v>0.85670399999999991</v>
      </c>
      <c r="W16" s="201" t="str">
        <f>'F7'!$F$20</f>
        <v>ton</v>
      </c>
    </row>
    <row r="17" spans="1:23" x14ac:dyDescent="0.2">
      <c r="A17" s="200">
        <v>8</v>
      </c>
      <c r="B17" s="201" t="str">
        <f>'F8'!$E$4</f>
        <v>Corn Gluten Feed</v>
      </c>
      <c r="C17" s="201">
        <f>'F8'!$E$6</f>
        <v>400</v>
      </c>
      <c r="D17" s="201">
        <f>'F8'!$E$8</f>
        <v>2000</v>
      </c>
      <c r="E17" s="205">
        <f>'F8'!$E$10</f>
        <v>0.88</v>
      </c>
      <c r="F17" s="205">
        <f>'F8'!$E$12</f>
        <v>0.215</v>
      </c>
      <c r="G17" s="205">
        <f>'F8'!$E$14</f>
        <v>0.77</v>
      </c>
      <c r="H17" s="203">
        <f t="shared" si="0"/>
        <v>1.5309214692436413</v>
      </c>
      <c r="I17" s="203">
        <f t="shared" si="1"/>
        <v>0.4274650855680297</v>
      </c>
      <c r="J17" s="203">
        <f t="shared" si="2"/>
        <v>0.37403194987202598</v>
      </c>
      <c r="K17" s="201">
        <f>'F8'!$E$18</f>
        <v>5</v>
      </c>
      <c r="L17" s="201">
        <f>'F8'!$E$16</f>
        <v>200</v>
      </c>
      <c r="M17" s="201">
        <f>'F8'!$E$20</f>
        <v>20</v>
      </c>
      <c r="N17" s="201">
        <f t="shared" si="3"/>
        <v>50</v>
      </c>
      <c r="O17" s="205">
        <f>'F8'!$E$22</f>
        <v>0.03</v>
      </c>
      <c r="P17" s="204">
        <f t="shared" si="4"/>
        <v>0.97</v>
      </c>
      <c r="Q17" s="201">
        <f>'F8'!$E$24</f>
        <v>10</v>
      </c>
      <c r="R17" s="205">
        <f>'F8'!$E$26</f>
        <v>0.12</v>
      </c>
      <c r="S17" s="201">
        <f t="shared" si="5"/>
        <v>0.85360000000000003</v>
      </c>
      <c r="T17" s="201">
        <f>'F8'!$E$28</f>
        <v>6</v>
      </c>
      <c r="U17" s="205">
        <f>'F8'!$E$30</f>
        <v>0.06</v>
      </c>
      <c r="V17" s="201">
        <f t="shared" si="6"/>
        <v>0.80238399999999999</v>
      </c>
      <c r="W17" s="201" t="str">
        <f>'F8'!$F$20</f>
        <v>ton</v>
      </c>
    </row>
    <row r="18" spans="1:23" x14ac:dyDescent="0.2">
      <c r="A18" s="200">
        <v>9</v>
      </c>
      <c r="B18" s="201" t="str">
        <f>'F9'!$E$4</f>
        <v>Wheat Straw</v>
      </c>
      <c r="C18" s="201">
        <f>'F9'!$E$6</f>
        <v>75</v>
      </c>
      <c r="D18" s="201">
        <f>'F9'!$E$8</f>
        <v>2000</v>
      </c>
      <c r="E18" s="205">
        <f>'F9'!$E$10</f>
        <v>0.9</v>
      </c>
      <c r="F18" s="205">
        <f>'F9'!$E$12</f>
        <v>4.2000000000000003E-2</v>
      </c>
      <c r="G18" s="205">
        <f>'F9'!$E$14</f>
        <v>0.45</v>
      </c>
      <c r="H18" s="203">
        <f t="shared" si="0"/>
        <v>1.71400013639541</v>
      </c>
      <c r="I18" s="203">
        <f t="shared" si="1"/>
        <v>0.15997334606357161</v>
      </c>
      <c r="J18" s="203">
        <f t="shared" si="2"/>
        <v>7.9986673031785804E-2</v>
      </c>
      <c r="K18" s="201">
        <f>'F9'!$E$18</f>
        <v>3</v>
      </c>
      <c r="L18" s="201">
        <f>'F9'!$E$16</f>
        <v>20</v>
      </c>
      <c r="M18" s="201">
        <f>'F9'!$E$20</f>
        <v>25</v>
      </c>
      <c r="N18" s="201">
        <f t="shared" si="3"/>
        <v>2.4</v>
      </c>
      <c r="O18" s="205">
        <f>'F9'!$E$22</f>
        <v>0.02</v>
      </c>
      <c r="P18" s="204">
        <f t="shared" si="4"/>
        <v>0.98</v>
      </c>
      <c r="Q18" s="201">
        <f>'F9'!$E$24</f>
        <v>10</v>
      </c>
      <c r="R18" s="205">
        <f>'F9'!$E$26</f>
        <v>0.05</v>
      </c>
      <c r="S18" s="201">
        <f t="shared" si="5"/>
        <v>0.93099999999999994</v>
      </c>
      <c r="T18" s="201">
        <f>'F9'!$E$28</f>
        <v>10</v>
      </c>
      <c r="U18" s="205">
        <f>'F9'!$E$30</f>
        <v>0.2</v>
      </c>
      <c r="V18" s="201">
        <f t="shared" si="6"/>
        <v>0.74480000000000002</v>
      </c>
      <c r="W18" s="201" t="str">
        <f>'F9'!$F$20</f>
        <v>ton</v>
      </c>
    </row>
    <row r="19" spans="1:23" x14ac:dyDescent="0.2">
      <c r="A19" s="200">
        <v>10</v>
      </c>
      <c r="B19" s="201" t="str">
        <f>'Cornstalks (10)'!B1</f>
        <v>Corn Stalk Inputs</v>
      </c>
      <c r="C19" s="200">
        <f>'Cornstalks (10)'!F15</f>
        <v>10</v>
      </c>
      <c r="D19" s="200">
        <f>'Cornstalks (10)'!J5</f>
        <v>1573.4550000000002</v>
      </c>
      <c r="E19" s="202">
        <v>0.9</v>
      </c>
      <c r="F19" s="202">
        <f>'Cornstalks (10)'!F18</f>
        <v>0.08</v>
      </c>
      <c r="G19" s="202">
        <f>'Cornstalks (10)'!F20</f>
        <v>0.56000000000000005</v>
      </c>
      <c r="H19" s="203">
        <f t="shared" si="0"/>
        <v>8.8270010193420761E-2</v>
      </c>
      <c r="I19" s="203">
        <f t="shared" si="1"/>
        <v>1.2610001456202965E-2</v>
      </c>
      <c r="J19" s="203">
        <f t="shared" si="2"/>
        <v>7.8462231283040682E-3</v>
      </c>
      <c r="K19" s="201"/>
      <c r="L19" s="201"/>
      <c r="M19" s="201"/>
      <c r="N19" s="201"/>
      <c r="O19" s="202"/>
      <c r="P19" s="204"/>
      <c r="Q19" s="201"/>
      <c r="R19" s="202"/>
      <c r="S19" s="201"/>
      <c r="T19" s="201"/>
      <c r="U19" s="202"/>
      <c r="V19" s="201"/>
    </row>
    <row r="20" spans="1:23" x14ac:dyDescent="0.2">
      <c r="D20" s="196"/>
      <c r="Q20" s="201"/>
      <c r="R20" s="201"/>
    </row>
    <row r="23" spans="1:23" x14ac:dyDescent="0.2">
      <c r="A23">
        <v>1</v>
      </c>
      <c r="B23">
        <v>2</v>
      </c>
      <c r="C23">
        <v>3</v>
      </c>
      <c r="D23">
        <v>4</v>
      </c>
      <c r="E23">
        <v>5</v>
      </c>
      <c r="F23">
        <v>6</v>
      </c>
      <c r="G23">
        <v>7</v>
      </c>
      <c r="H23">
        <v>8</v>
      </c>
      <c r="I23">
        <v>9</v>
      </c>
      <c r="J23">
        <v>10</v>
      </c>
      <c r="K23">
        <v>11</v>
      </c>
      <c r="L23">
        <v>12</v>
      </c>
      <c r="M23">
        <v>13</v>
      </c>
      <c r="N23">
        <v>14</v>
      </c>
    </row>
    <row r="24" spans="1:23" x14ac:dyDescent="0.2">
      <c r="C24" s="262" t="s">
        <v>145</v>
      </c>
      <c r="D24" s="262"/>
      <c r="E24" s="262"/>
      <c r="F24" s="262" t="s">
        <v>142</v>
      </c>
      <c r="G24" s="262"/>
      <c r="H24" s="262"/>
      <c r="I24" s="262" t="s">
        <v>143</v>
      </c>
      <c r="J24" s="262"/>
      <c r="K24" s="262"/>
      <c r="L24" s="262" t="s">
        <v>144</v>
      </c>
      <c r="M24" s="262"/>
      <c r="N24" s="262"/>
    </row>
    <row r="25" spans="1:23" x14ac:dyDescent="0.2">
      <c r="A25" s="197"/>
      <c r="B25" s="198" t="s">
        <v>6</v>
      </c>
      <c r="C25" t="s">
        <v>101</v>
      </c>
      <c r="D25" t="s">
        <v>102</v>
      </c>
      <c r="E25" t="s">
        <v>137</v>
      </c>
      <c r="F25" t="s">
        <v>101</v>
      </c>
      <c r="G25" t="s">
        <v>102</v>
      </c>
      <c r="H25" t="s">
        <v>137</v>
      </c>
      <c r="I25" t="s">
        <v>101</v>
      </c>
      <c r="J25" t="s">
        <v>102</v>
      </c>
      <c r="K25" t="s">
        <v>137</v>
      </c>
      <c r="L25" t="s">
        <v>101</v>
      </c>
      <c r="M25" t="s">
        <v>102</v>
      </c>
      <c r="N25" t="s">
        <v>137</v>
      </c>
    </row>
    <row r="26" spans="1:23" x14ac:dyDescent="0.2">
      <c r="A26" s="200">
        <v>1</v>
      </c>
      <c r="B26" s="201" t="str">
        <f>'F1'!$E$4</f>
        <v>Grass Hay (Premium)</v>
      </c>
      <c r="C26">
        <f>'F1'!$L$3</f>
        <v>1.0683760683760684</v>
      </c>
      <c r="D26">
        <f>'F1'!$L$5</f>
        <v>0.24366471734892792</v>
      </c>
      <c r="E26">
        <f>'F1'!$L$7</f>
        <v>0.1388888888888889</v>
      </c>
      <c r="F26">
        <f>'F1'!$L$12</f>
        <v>1.1762928429595099</v>
      </c>
      <c r="G26">
        <f>'F1'!$L$14</f>
        <v>0.26827731506094088</v>
      </c>
      <c r="H26">
        <f>'F1'!$L$16</f>
        <v>0.15291806958473628</v>
      </c>
      <c r="I26">
        <f>'F1'!$L$21</f>
        <v>1.2046595379928713</v>
      </c>
      <c r="J26">
        <f>'F1'!$L$23</f>
        <v>0.27474691217381281</v>
      </c>
      <c r="K26">
        <f>'F1'!$L$25</f>
        <v>0.15660573993907329</v>
      </c>
      <c r="L26">
        <f>'F1'!$L$30</f>
        <v>1.362252288178214</v>
      </c>
      <c r="M26">
        <f>'F1'!$L$32</f>
        <v>0.31068911835643481</v>
      </c>
      <c r="N26">
        <f>'F1'!$L$34</f>
        <v>0.17709279746316783</v>
      </c>
    </row>
    <row r="27" spans="1:23" x14ac:dyDescent="0.2">
      <c r="A27" s="200">
        <v>2</v>
      </c>
      <c r="B27" s="201" t="str">
        <f>'F2'!$E$4</f>
        <v>Grass Hay</v>
      </c>
      <c r="C27">
        <f>'F2'!$L$3</f>
        <v>1.0101010101010102</v>
      </c>
      <c r="D27">
        <f>'F2'!$L$5</f>
        <v>0.22222222222222224</v>
      </c>
      <c r="E27">
        <f>'F2'!$L$7</f>
        <v>0.11111111111111112</v>
      </c>
      <c r="F27">
        <f>'F2'!$L$12</f>
        <v>1.0776961534537293</v>
      </c>
      <c r="G27">
        <f>'F2'!$L$14</f>
        <v>0.23709315375982043</v>
      </c>
      <c r="H27">
        <f>'F2'!$L$16</f>
        <v>0.11854657687991021</v>
      </c>
      <c r="I27">
        <f>'F2'!$L$21</f>
        <v>1.1048435290859533</v>
      </c>
      <c r="J27">
        <f>'F2'!$L$23</f>
        <v>0.24306557639890974</v>
      </c>
      <c r="K27">
        <f>'F2'!$L$25</f>
        <v>0.12153278819945487</v>
      </c>
      <c r="L27">
        <f>'F2'!$L$30</f>
        <v>1.3295247698099748</v>
      </c>
      <c r="M27">
        <f>'F2'!$L$32</f>
        <v>0.29249544935819444</v>
      </c>
      <c r="N27">
        <f>'F2'!$L$34</f>
        <v>0.14624772467909722</v>
      </c>
    </row>
    <row r="28" spans="1:23" x14ac:dyDescent="0.2">
      <c r="A28" s="200">
        <v>3</v>
      </c>
      <c r="B28" s="201" t="str">
        <f>'F3'!$E$4</f>
        <v>Alfalfa Hay (Good)</v>
      </c>
      <c r="C28">
        <f>'F3'!$L$3</f>
        <v>0.90579710144927528</v>
      </c>
      <c r="D28">
        <f>'F3'!$L$5</f>
        <v>0.2824858757062147</v>
      </c>
      <c r="E28">
        <f>'F3'!$L$7</f>
        <v>0.16666666666666666</v>
      </c>
      <c r="F28">
        <f>'F3'!$L$12</f>
        <v>0.96496977641832349</v>
      </c>
      <c r="G28">
        <f>'F3'!$L$14</f>
        <v>0.30093972688300258</v>
      </c>
      <c r="H28">
        <f>'F3'!$L$16</f>
        <v>0.17755443886097153</v>
      </c>
      <c r="I28">
        <f>'F3'!$L$21</f>
        <v>0.97776676776749616</v>
      </c>
      <c r="J28">
        <f>'F3'!$L$23</f>
        <v>0.30493065299867678</v>
      </c>
      <c r="K28">
        <f>'F3'!$L$25</f>
        <v>0.17990908526921928</v>
      </c>
      <c r="L28">
        <f>'F3'!$L$30</f>
        <v>1.1098911482977547</v>
      </c>
      <c r="M28">
        <f>'F3'!$L$32</f>
        <v>0.34613554455387602</v>
      </c>
      <c r="N28">
        <f>'F3'!$L$34</f>
        <v>0.20421997128678684</v>
      </c>
    </row>
    <row r="29" spans="1:23" x14ac:dyDescent="0.2">
      <c r="A29" s="200">
        <v>4</v>
      </c>
      <c r="B29" s="201" t="str">
        <f>'F4'!$E$4</f>
        <v>Corn</v>
      </c>
      <c r="C29">
        <f>'F4'!$L$3</f>
        <v>1.4655483405483407</v>
      </c>
      <c r="D29">
        <f>'F4'!$L$5</f>
        <v>0.17129785798616967</v>
      </c>
      <c r="E29">
        <f>'F4'!$L$7</f>
        <v>0.13189935064935066</v>
      </c>
      <c r="F29">
        <f>'F4'!$L$12</f>
        <v>1.5484469002056942</v>
      </c>
      <c r="G29">
        <f>'F4'!$L$14</f>
        <v>0.18098730002404217</v>
      </c>
      <c r="H29">
        <f>'F4'!$L$16</f>
        <v>0.13936022101851248</v>
      </c>
      <c r="I29">
        <f>'F4'!$L$21</f>
        <v>1.6375654531356514</v>
      </c>
      <c r="J29">
        <f>'F4'!$L$23</f>
        <v>0.19140375426260858</v>
      </c>
      <c r="K29">
        <f>'F4'!$L$25</f>
        <v>0.14738089078220862</v>
      </c>
      <c r="L29">
        <f>'F4'!$L$30</f>
        <v>1.7474866849289987</v>
      </c>
      <c r="M29">
        <f>'F4'!$L$32</f>
        <v>0.20425169044624658</v>
      </c>
      <c r="N29">
        <f>'F4'!$L$34</f>
        <v>0.15727380164360988</v>
      </c>
    </row>
    <row r="30" spans="1:23" x14ac:dyDescent="0.2">
      <c r="A30" s="200">
        <v>5</v>
      </c>
      <c r="B30" s="201" t="str">
        <f>'F5'!$E$4</f>
        <v>Oats</v>
      </c>
      <c r="C30">
        <f>'F5'!$L$3</f>
        <v>1.5490746860541968</v>
      </c>
      <c r="D30">
        <f>'F5'!$L$5</f>
        <v>0.2736028016926893</v>
      </c>
      <c r="E30">
        <f>'F5'!$L$7</f>
        <v>0.21067415730337077</v>
      </c>
      <c r="F30">
        <f>'F5'!$L$12</f>
        <v>1.646550474122233</v>
      </c>
      <c r="G30">
        <f>'F5'!$L$14</f>
        <v>0.29081930452029053</v>
      </c>
      <c r="H30">
        <f>'F5'!$L$16</f>
        <v>0.22393086448062371</v>
      </c>
      <c r="I30">
        <f>'F5'!$L$21</f>
        <v>1.6657901669350068</v>
      </c>
      <c r="J30">
        <f>'F5'!$L$23</f>
        <v>0.29421748403007913</v>
      </c>
      <c r="K30">
        <f>'F5'!$L$25</f>
        <v>0.22654746270316095</v>
      </c>
      <c r="L30">
        <f>'F5'!$L$30</f>
        <v>1.8050528200560485</v>
      </c>
      <c r="M30">
        <f>'F5'!$L$32</f>
        <v>0.31881452406184752</v>
      </c>
      <c r="N30">
        <f>'F5'!$L$34</f>
        <v>0.24548718352762261</v>
      </c>
    </row>
    <row r="31" spans="1:23" x14ac:dyDescent="0.2">
      <c r="A31" s="200">
        <v>6</v>
      </c>
      <c r="B31" s="201" t="str">
        <f>'F6'!$E$4</f>
        <v>Barley</v>
      </c>
      <c r="C31">
        <f>'F6'!$L$3</f>
        <v>1.0728776529338326</v>
      </c>
      <c r="D31">
        <f>'F6'!$L$5</f>
        <v>0.15511484138802398</v>
      </c>
      <c r="E31">
        <f>'F6'!$L$7</f>
        <v>0.12874531835205991</v>
      </c>
      <c r="F31">
        <f>'F6'!$L$12</f>
        <v>1.1508872059604098</v>
      </c>
      <c r="G31">
        <f>'F6'!$L$14</f>
        <v>0.16639333098222794</v>
      </c>
      <c r="H31">
        <f>'F6'!$L$16</f>
        <v>0.13810646471524918</v>
      </c>
      <c r="I31">
        <f>'F6'!$L$21</f>
        <v>1.1823366862522464</v>
      </c>
      <c r="J31">
        <f>'F6'!$L$23</f>
        <v>0.17094024379550549</v>
      </c>
      <c r="K31">
        <f>'F6'!$L$25</f>
        <v>0.14188040235026955</v>
      </c>
      <c r="L31">
        <f>'F6'!$L$30</f>
        <v>1.237696610601396</v>
      </c>
      <c r="M31">
        <f>'F6'!$L$32</f>
        <v>0.17894408827971992</v>
      </c>
      <c r="N31">
        <f>'F6'!$L$34</f>
        <v>0.14852359327216752</v>
      </c>
    </row>
    <row r="32" spans="1:23" x14ac:dyDescent="0.2">
      <c r="A32" s="200">
        <v>7</v>
      </c>
      <c r="B32" s="201" t="str">
        <f>'F7'!$E$4</f>
        <v>Wheat Screening</v>
      </c>
      <c r="C32">
        <f>'F7'!$L$3</f>
        <v>1.404494382022472</v>
      </c>
      <c r="D32">
        <f>'F7'!$L$5</f>
        <v>0.23737933217281215</v>
      </c>
      <c r="E32">
        <f>'F7'!$L$7</f>
        <v>0.16853932584269662</v>
      </c>
      <c r="F32">
        <f>'F7'!$L$12</f>
        <v>1.5685933819838604</v>
      </c>
      <c r="G32">
        <f>'F7'!$L$14</f>
        <v>0.2651143744198074</v>
      </c>
      <c r="H32">
        <f>'F7'!$L$16</f>
        <v>0.18823120583806324</v>
      </c>
      <c r="I32">
        <f>'F7'!$L$21</f>
        <v>1.9997051848848733</v>
      </c>
      <c r="J32">
        <f>'F7'!$L$23</f>
        <v>0.33797834110730252</v>
      </c>
      <c r="K32">
        <f>'F7'!$L$25</f>
        <v>0.23996462218618478</v>
      </c>
      <c r="L32">
        <f>'F7'!$L$30</f>
        <v>2.2092138265928236</v>
      </c>
      <c r="M32">
        <f>'F7'!$L$32</f>
        <v>0.37338825238188567</v>
      </c>
      <c r="N32">
        <f>'F7'!$L$34</f>
        <v>0.26510565919113882</v>
      </c>
    </row>
    <row r="33" spans="1:14" x14ac:dyDescent="0.2">
      <c r="A33" s="200">
        <v>8</v>
      </c>
      <c r="B33" s="201" t="str">
        <f>'F8'!$E$4</f>
        <v>Corn Gluten Feed</v>
      </c>
      <c r="C33">
        <f>'F8'!$L$3</f>
        <v>1.0570824524312898</v>
      </c>
      <c r="D33">
        <f>'F8'!$L$5</f>
        <v>0.29515938606847697</v>
      </c>
      <c r="E33">
        <f>'F8'!$L$7</f>
        <v>0.22727272727272729</v>
      </c>
      <c r="F33">
        <f>'F8'!$L$12</f>
        <v>1.225997689675465</v>
      </c>
      <c r="G33">
        <f>'F8'!$L$14</f>
        <v>0.34232403023405839</v>
      </c>
      <c r="H33">
        <f>'F8'!$L$16</f>
        <v>0.26358950328022496</v>
      </c>
      <c r="I33">
        <f>'F8'!$L$21</f>
        <v>1.4232099443025532</v>
      </c>
      <c r="J33">
        <f>'F8'!$L$23</f>
        <v>0.39738978964292065</v>
      </c>
      <c r="K33">
        <f>'F8'!$L$25</f>
        <v>0.30599013802504893</v>
      </c>
      <c r="L33">
        <f>'F8'!$L$30</f>
        <v>1.5309214692436415</v>
      </c>
      <c r="M33">
        <f>'F8'!$L$32</f>
        <v>0.42746508556802976</v>
      </c>
      <c r="N33">
        <f>'F8'!$L$34</f>
        <v>0.32914811588738291</v>
      </c>
    </row>
    <row r="34" spans="1:14" x14ac:dyDescent="0.2">
      <c r="A34" s="200">
        <v>9</v>
      </c>
      <c r="B34" s="201" t="str">
        <f>'F9'!$E$4</f>
        <v>Wheat Straw</v>
      </c>
      <c r="C34">
        <f>'F9'!$L$3</f>
        <v>0.99206349206349198</v>
      </c>
      <c r="D34">
        <f>'F9'!$L$5</f>
        <v>9.2592592592592587E-2</v>
      </c>
      <c r="E34">
        <f>'F9'!$L$7</f>
        <v>4.1666666666666664E-2</v>
      </c>
      <c r="F34">
        <f>'F9'!$L$12</f>
        <v>1.0447035957240041</v>
      </c>
      <c r="G34">
        <f>'F9'!$L$14</f>
        <v>9.7505668934240369E-2</v>
      </c>
      <c r="H34">
        <f>'F9'!$L$16</f>
        <v>4.3877551020408169E-2</v>
      </c>
      <c r="I34">
        <f>'F9'!$L$21</f>
        <v>1.2389249768411958</v>
      </c>
      <c r="J34">
        <f>'F9'!$L$23</f>
        <v>0.11563299783851162</v>
      </c>
      <c r="K34">
        <f>'F9'!$L$25</f>
        <v>5.2034849027330229E-2</v>
      </c>
      <c r="L34">
        <f>'F9'!$L$30</f>
        <v>1.71400013639541</v>
      </c>
      <c r="M34">
        <f>'F9'!$L$32</f>
        <v>0.15997334606357161</v>
      </c>
      <c r="N34">
        <f>'F9'!$L$34</f>
        <v>7.1988005728607224E-2</v>
      </c>
    </row>
    <row r="35" spans="1:14" x14ac:dyDescent="0.2">
      <c r="A35" s="200">
        <v>10</v>
      </c>
      <c r="B35" s="201" t="str">
        <f>'Cornstalks (10)'!B1</f>
        <v>Corn Stalk Inputs</v>
      </c>
      <c r="C35">
        <f>'Cornstalks (10)'!P4</f>
        <v>3.9721504587039345E-2</v>
      </c>
      <c r="D35">
        <f>'Cornstalks (10)'!P6</f>
        <v>5.6745006552913341E-3</v>
      </c>
      <c r="E35">
        <f>'Cornstalks (10)'!P8</f>
        <v>3.1777203669631476E-3</v>
      </c>
      <c r="F35">
        <f>'Cornstalks (10)'!P13</f>
        <v>7.9443009174078691E-2</v>
      </c>
      <c r="G35">
        <f>'Cornstalks (10)'!P15</f>
        <v>1.1349001310582668E-2</v>
      </c>
      <c r="H35">
        <f>'Cornstalks (10)'!P17</f>
        <v>6.3554407339262951E-3</v>
      </c>
      <c r="I35">
        <f>'Cornstalks (10)'!P22</f>
        <v>0.21184802446420986</v>
      </c>
      <c r="J35">
        <f>'Cornstalks (10)'!P24</f>
        <v>3.0264003494887119E-2</v>
      </c>
      <c r="K35">
        <f>'Cornstalks (10)'!P26</f>
        <v>1.6947841957136788E-2</v>
      </c>
      <c r="L35">
        <f>'Cornstalks (10)'!P31</f>
        <v>0.23656362731836766</v>
      </c>
      <c r="M35">
        <f>'Cornstalks (10)'!P33</f>
        <v>3.3794803902623946E-2</v>
      </c>
      <c r="N35">
        <f>'Cornstalks (10)'!P35</f>
        <v>1.8925090185469413E-2</v>
      </c>
    </row>
  </sheetData>
  <mergeCells count="9">
    <mergeCell ref="T8:V8"/>
    <mergeCell ref="E8:G8"/>
    <mergeCell ref="H8:J8"/>
    <mergeCell ref="K8:P8"/>
    <mergeCell ref="C24:E24"/>
    <mergeCell ref="F24:H24"/>
    <mergeCell ref="I24:K24"/>
    <mergeCell ref="L24:N24"/>
    <mergeCell ref="Q8:S8"/>
  </mergeCells>
  <phoneticPr fontId="2" type="noConversion"/>
  <pageMargins left="0.75" right="0.75" top="1" bottom="1" header="0.5" footer="0.5"/>
  <pageSetup scale="97" orientation="landscape" horizontalDpi="4294967293"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I35"/>
  <sheetViews>
    <sheetView topLeftCell="A3" workbookViewId="0">
      <selection activeCell="A3" sqref="A3"/>
    </sheetView>
  </sheetViews>
  <sheetFormatPr defaultRowHeight="12.75" x14ac:dyDescent="0.2"/>
  <cols>
    <col min="1" max="1" width="3.7109375" style="6" customWidth="1"/>
    <col min="2" max="2" width="5.140625" style="6" customWidth="1"/>
    <col min="3" max="3" width="18" style="6" customWidth="1"/>
    <col min="4" max="4" width="20.85546875" style="6" customWidth="1"/>
    <col min="5" max="8" width="12.7109375" style="6" customWidth="1"/>
    <col min="9" max="9" width="4.85546875" style="6" customWidth="1"/>
    <col min="10" max="16384" width="9.140625" style="6"/>
  </cols>
  <sheetData>
    <row r="1" spans="2:9" ht="13.5" thickBot="1" x14ac:dyDescent="0.25"/>
    <row r="2" spans="2:9" x14ac:dyDescent="0.2">
      <c r="B2" s="50"/>
      <c r="C2" s="51"/>
      <c r="D2" s="51"/>
      <c r="E2" s="51"/>
      <c r="F2" s="51"/>
      <c r="G2" s="51"/>
      <c r="H2" s="51"/>
      <c r="I2" s="52"/>
    </row>
    <row r="3" spans="2:9" ht="18" x14ac:dyDescent="0.25">
      <c r="B3" s="53"/>
      <c r="C3" s="54"/>
      <c r="D3" s="54"/>
      <c r="E3" s="263" t="s">
        <v>6</v>
      </c>
      <c r="F3" s="263"/>
      <c r="G3" s="263"/>
      <c r="H3" s="263"/>
      <c r="I3" s="19"/>
    </row>
    <row r="4" spans="2:9" ht="15" x14ac:dyDescent="0.25">
      <c r="B4" s="53"/>
      <c r="C4" s="55"/>
      <c r="D4" s="56" t="s">
        <v>2</v>
      </c>
      <c r="E4" s="57">
        <v>1</v>
      </c>
      <c r="F4" s="57">
        <v>2</v>
      </c>
      <c r="G4" s="58">
        <v>3</v>
      </c>
      <c r="H4" s="59">
        <v>4</v>
      </c>
      <c r="I4" s="19"/>
    </row>
    <row r="5" spans="2:9" s="67" customFormat="1" ht="48" customHeight="1" thickBot="1" x14ac:dyDescent="0.3">
      <c r="B5" s="60"/>
      <c r="C5" s="61"/>
      <c r="D5" s="62" t="s">
        <v>29</v>
      </c>
      <c r="E5" s="63" t="str">
        <f>IF(E$4="","",VLOOKUP(E$4,Calc,2,FALSE))</f>
        <v>Grass Hay (Premium)</v>
      </c>
      <c r="F5" s="63" t="str">
        <f>IF(F$4="","",VLOOKUP(F$4,Calc,2,FALSE))</f>
        <v>Grass Hay</v>
      </c>
      <c r="G5" s="64" t="str">
        <f>IF(G$4="","",VLOOKUP(G$4,Calc,2,FALSE))</f>
        <v>Alfalfa Hay (Good)</v>
      </c>
      <c r="H5" s="65" t="str">
        <f>IF(H$4="","",VLOOKUP(H$4,Calc,2,FALSE))</f>
        <v>Corn</v>
      </c>
      <c r="I5" s="66"/>
    </row>
    <row r="6" spans="2:9" ht="15" customHeight="1" thickTop="1" x14ac:dyDescent="0.25">
      <c r="B6" s="53">
        <v>3</v>
      </c>
      <c r="C6" s="68"/>
      <c r="D6" s="69" t="s">
        <v>30</v>
      </c>
      <c r="E6" s="70">
        <f t="shared" ref="E6:H10" si="0">IF(E$4="","",VLOOKUP(E$4,Calc,$B6,FALSE))</f>
        <v>250</v>
      </c>
      <c r="F6" s="70">
        <f t="shared" si="0"/>
        <v>200</v>
      </c>
      <c r="G6" s="71">
        <f t="shared" si="0"/>
        <v>300</v>
      </c>
      <c r="H6" s="72">
        <f t="shared" si="0"/>
        <v>6.5</v>
      </c>
      <c r="I6" s="19"/>
    </row>
    <row r="7" spans="2:9" ht="15" customHeight="1" x14ac:dyDescent="0.25">
      <c r="B7" s="53">
        <v>4</v>
      </c>
      <c r="C7" s="73"/>
      <c r="D7" s="74" t="s">
        <v>31</v>
      </c>
      <c r="E7" s="75">
        <f t="shared" si="0"/>
        <v>2000</v>
      </c>
      <c r="F7" s="76">
        <f t="shared" si="0"/>
        <v>2000</v>
      </c>
      <c r="G7" s="77">
        <f t="shared" si="0"/>
        <v>2000</v>
      </c>
      <c r="H7" s="78">
        <f t="shared" si="0"/>
        <v>56</v>
      </c>
      <c r="I7" s="108"/>
    </row>
    <row r="8" spans="2:9" ht="17.100000000000001" customHeight="1" x14ac:dyDescent="0.25">
      <c r="B8" s="53">
        <v>5</v>
      </c>
      <c r="C8" s="264" t="s">
        <v>32</v>
      </c>
      <c r="D8" s="79" t="s">
        <v>33</v>
      </c>
      <c r="E8" s="80">
        <f t="shared" si="0"/>
        <v>0.9</v>
      </c>
      <c r="F8" s="80">
        <f t="shared" si="0"/>
        <v>0.9</v>
      </c>
      <c r="G8" s="81">
        <f t="shared" si="0"/>
        <v>0.9</v>
      </c>
      <c r="H8" s="82">
        <f t="shared" si="0"/>
        <v>0.88</v>
      </c>
      <c r="I8" s="108"/>
    </row>
    <row r="9" spans="2:9" ht="17.100000000000001" customHeight="1" x14ac:dyDescent="0.25">
      <c r="B9" s="53">
        <v>6</v>
      </c>
      <c r="C9" s="267"/>
      <c r="D9" s="69" t="s">
        <v>34</v>
      </c>
      <c r="E9" s="83">
        <f t="shared" si="0"/>
        <v>0.13</v>
      </c>
      <c r="F9" s="83">
        <f t="shared" si="0"/>
        <v>0.11</v>
      </c>
      <c r="G9" s="84">
        <f t="shared" si="0"/>
        <v>0.184</v>
      </c>
      <c r="H9" s="85">
        <f t="shared" si="0"/>
        <v>0.09</v>
      </c>
      <c r="I9" s="108"/>
    </row>
    <row r="10" spans="2:9" ht="17.100000000000001" customHeight="1" x14ac:dyDescent="0.25">
      <c r="B10" s="53">
        <v>7</v>
      </c>
      <c r="C10" s="268"/>
      <c r="D10" s="74" t="s">
        <v>35</v>
      </c>
      <c r="E10" s="83">
        <f t="shared" si="0"/>
        <v>0.56999999999999995</v>
      </c>
      <c r="F10" s="83">
        <f t="shared" si="0"/>
        <v>0.5</v>
      </c>
      <c r="G10" s="84">
        <f t="shared" si="0"/>
        <v>0.59</v>
      </c>
      <c r="H10" s="85">
        <f t="shared" si="0"/>
        <v>0.77</v>
      </c>
      <c r="I10" s="108"/>
    </row>
    <row r="11" spans="2:9" ht="21.75" customHeight="1" x14ac:dyDescent="0.25">
      <c r="B11" s="53">
        <v>3</v>
      </c>
      <c r="C11" s="269" t="s">
        <v>36</v>
      </c>
      <c r="D11" s="86" t="s">
        <v>37</v>
      </c>
      <c r="E11" s="87">
        <f t="shared" ref="E11:H13" si="1">IF(E$4="","",VLOOKUP(E$4,Costs,$B11))</f>
        <v>1.0683760683760684</v>
      </c>
      <c r="F11" s="87">
        <f t="shared" si="1"/>
        <v>1.0101010101010102</v>
      </c>
      <c r="G11" s="87">
        <f t="shared" si="1"/>
        <v>0.90579710144927528</v>
      </c>
      <c r="H11" s="87">
        <f t="shared" si="1"/>
        <v>1.4655483405483407</v>
      </c>
      <c r="I11" s="108"/>
    </row>
    <row r="12" spans="2:9" ht="21.75" customHeight="1" x14ac:dyDescent="0.25">
      <c r="B12" s="53">
        <v>4</v>
      </c>
      <c r="C12" s="270"/>
      <c r="D12" s="88" t="s">
        <v>38</v>
      </c>
      <c r="E12" s="89">
        <f t="shared" si="1"/>
        <v>0.24366471734892792</v>
      </c>
      <c r="F12" s="89">
        <f t="shared" si="1"/>
        <v>0.22222222222222224</v>
      </c>
      <c r="G12" s="89">
        <f t="shared" si="1"/>
        <v>0.2824858757062147</v>
      </c>
      <c r="H12" s="89">
        <f t="shared" si="1"/>
        <v>0.17129785798616967</v>
      </c>
      <c r="I12" s="108"/>
    </row>
    <row r="13" spans="2:9" ht="21.75" customHeight="1" x14ac:dyDescent="0.25">
      <c r="B13" s="53">
        <v>5</v>
      </c>
      <c r="C13" s="271"/>
      <c r="D13" s="90" t="s">
        <v>39</v>
      </c>
      <c r="E13" s="91">
        <f t="shared" si="1"/>
        <v>0.1388888888888889</v>
      </c>
      <c r="F13" s="91">
        <f t="shared" si="1"/>
        <v>0.11111111111111112</v>
      </c>
      <c r="G13" s="91">
        <f t="shared" si="1"/>
        <v>0.16666666666666666</v>
      </c>
      <c r="H13" s="91">
        <f t="shared" si="1"/>
        <v>0.13189935064935066</v>
      </c>
      <c r="I13" s="108"/>
    </row>
    <row r="14" spans="2:9" ht="17.100000000000001" customHeight="1" x14ac:dyDescent="0.25">
      <c r="B14" s="53">
        <v>11</v>
      </c>
      <c r="C14" s="264" t="s">
        <v>40</v>
      </c>
      <c r="D14" s="79" t="s">
        <v>41</v>
      </c>
      <c r="E14" s="70">
        <f t="shared" ref="E14:H16" si="2">IF(E$4=10,"",IF(E$4="","",VLOOKUP(E$4,Calc,$B14,FALSE)))</f>
        <v>4.5</v>
      </c>
      <c r="F14" s="70">
        <f t="shared" si="2"/>
        <v>4.5</v>
      </c>
      <c r="G14" s="70">
        <f t="shared" si="2"/>
        <v>4.5</v>
      </c>
      <c r="H14" s="70">
        <f t="shared" si="2"/>
        <v>5</v>
      </c>
      <c r="I14" s="108"/>
    </row>
    <row r="15" spans="2:9" ht="17.100000000000001" customHeight="1" x14ac:dyDescent="0.25">
      <c r="B15" s="53">
        <v>12</v>
      </c>
      <c r="C15" s="265"/>
      <c r="D15" s="69" t="s">
        <v>17</v>
      </c>
      <c r="E15" s="76">
        <f t="shared" si="2"/>
        <v>100</v>
      </c>
      <c r="F15" s="76">
        <f t="shared" si="2"/>
        <v>50</v>
      </c>
      <c r="G15" s="76">
        <f t="shared" si="2"/>
        <v>80</v>
      </c>
      <c r="H15" s="76">
        <f t="shared" si="2"/>
        <v>60</v>
      </c>
      <c r="I15" s="108"/>
    </row>
    <row r="16" spans="2:9" ht="17.100000000000001" customHeight="1" x14ac:dyDescent="0.25">
      <c r="B16" s="53">
        <v>13</v>
      </c>
      <c r="C16" s="265"/>
      <c r="D16" s="69" t="s">
        <v>42</v>
      </c>
      <c r="E16" s="76">
        <f t="shared" si="2"/>
        <v>20</v>
      </c>
      <c r="F16" s="76">
        <f t="shared" si="2"/>
        <v>20</v>
      </c>
      <c r="G16" s="76">
        <f t="shared" si="2"/>
        <v>20</v>
      </c>
      <c r="H16" s="76">
        <f t="shared" si="2"/>
        <v>900</v>
      </c>
      <c r="I16" s="108"/>
    </row>
    <row r="17" spans="2:9" ht="17.100000000000001" customHeight="1" x14ac:dyDescent="0.25">
      <c r="B17" s="53">
        <v>14</v>
      </c>
      <c r="C17" s="265"/>
      <c r="D17" s="69" t="s">
        <v>43</v>
      </c>
      <c r="E17" s="70">
        <f>IF(E4=10,"",IF(E$4="","",IF(E16=0,0,E14*E15/E16)))</f>
        <v>22.5</v>
      </c>
      <c r="F17" s="70">
        <f>IF(F4=10,"",IF(F$4="","",IF(F16=0,0,F14*F15/F16)))</f>
        <v>11.25</v>
      </c>
      <c r="G17" s="70">
        <f>IF(G4=10,"",IF(G$4="","",IF(G16=0,0,G14*G15/G16)))</f>
        <v>18</v>
      </c>
      <c r="H17" s="70">
        <f>IF(H4=10,"",IF(H$4="","",IF(H16=0,0,H14*H15/H16)))</f>
        <v>0.33333333333333331</v>
      </c>
      <c r="I17" s="108"/>
    </row>
    <row r="18" spans="2:9" ht="17.100000000000001" customHeight="1" x14ac:dyDescent="0.25">
      <c r="B18" s="53">
        <v>15</v>
      </c>
      <c r="C18" s="265"/>
      <c r="D18" s="69" t="s">
        <v>44</v>
      </c>
      <c r="E18" s="83">
        <f>IF(E4=10,"",IF(E$4="","",VLOOKUP(E$4,Calc,$B18,FALSE)))</f>
        <v>0.01</v>
      </c>
      <c r="F18" s="83">
        <f>IF(F4=10,"",IF(F$4="","",VLOOKUP(F$4,Calc,$B18,FALSE)))</f>
        <v>0.01</v>
      </c>
      <c r="G18" s="83">
        <f>IF(G4=10,"",IF(G$4="","",VLOOKUP(G$4,Calc,$B18,FALSE)))</f>
        <v>5.0000000000000001E-3</v>
      </c>
      <c r="H18" s="83">
        <f>IF(H4=10,"",IF(H$4="","",VLOOKUP(H$4,Calc,$B18,FALSE)))</f>
        <v>5.0000000000000001E-3</v>
      </c>
      <c r="I18" s="108"/>
    </row>
    <row r="19" spans="2:9" ht="14.25" customHeight="1" x14ac:dyDescent="0.25">
      <c r="B19" s="53">
        <v>16</v>
      </c>
      <c r="C19" s="266"/>
      <c r="D19" s="74" t="s">
        <v>45</v>
      </c>
      <c r="E19" s="92">
        <f>IF(E4=10,"",IF(E$4="","",(1-E18)))</f>
        <v>0.99</v>
      </c>
      <c r="F19" s="92">
        <f>IF(F4=10,"",IF(F$4="","",(1-F18)))</f>
        <v>0.99</v>
      </c>
      <c r="G19" s="92">
        <f>IF(G4=10,"",IF(G$4="","",(1-G18)))</f>
        <v>0.995</v>
      </c>
      <c r="H19" s="92">
        <f>IF(H4=10,"",IF(H$4="","",(1-H18)))</f>
        <v>0.995</v>
      </c>
      <c r="I19" s="108"/>
    </row>
    <row r="20" spans="2:9" ht="19.5" customHeight="1" x14ac:dyDescent="0.25">
      <c r="B20" s="53">
        <v>6</v>
      </c>
      <c r="C20" s="269" t="s">
        <v>46</v>
      </c>
      <c r="D20" s="86" t="s">
        <v>37</v>
      </c>
      <c r="E20" s="87">
        <f t="shared" ref="E20:H22" si="3">IF(E$4="","",VLOOKUP(E$4,Costs,$B20))</f>
        <v>1.1762928429595099</v>
      </c>
      <c r="F20" s="87">
        <f t="shared" si="3"/>
        <v>1.0776961534537293</v>
      </c>
      <c r="G20" s="87">
        <f t="shared" si="3"/>
        <v>0.96496977641832349</v>
      </c>
      <c r="H20" s="87">
        <f t="shared" si="3"/>
        <v>1.5484469002056942</v>
      </c>
      <c r="I20" s="108"/>
    </row>
    <row r="21" spans="2:9" ht="19.5" customHeight="1" x14ac:dyDescent="0.25">
      <c r="B21" s="53">
        <v>7</v>
      </c>
      <c r="C21" s="270"/>
      <c r="D21" s="88" t="s">
        <v>38</v>
      </c>
      <c r="E21" s="89">
        <f t="shared" si="3"/>
        <v>0.26827731506094088</v>
      </c>
      <c r="F21" s="89">
        <f t="shared" si="3"/>
        <v>0.23709315375982043</v>
      </c>
      <c r="G21" s="89">
        <f t="shared" si="3"/>
        <v>0.30093972688300258</v>
      </c>
      <c r="H21" s="89">
        <f t="shared" si="3"/>
        <v>0.18098730002404217</v>
      </c>
      <c r="I21" s="108"/>
    </row>
    <row r="22" spans="2:9" ht="19.5" customHeight="1" x14ac:dyDescent="0.25">
      <c r="B22" s="53">
        <v>8</v>
      </c>
      <c r="C22" s="271"/>
      <c r="D22" s="90" t="s">
        <v>39</v>
      </c>
      <c r="E22" s="91">
        <f t="shared" si="3"/>
        <v>0.15291806958473628</v>
      </c>
      <c r="F22" s="91">
        <f t="shared" si="3"/>
        <v>0.11854657687991021</v>
      </c>
      <c r="G22" s="91">
        <f t="shared" si="3"/>
        <v>0.17755443886097153</v>
      </c>
      <c r="H22" s="91">
        <f t="shared" si="3"/>
        <v>0.13936022101851248</v>
      </c>
      <c r="I22" s="108"/>
    </row>
    <row r="23" spans="2:9" ht="17.100000000000001" customHeight="1" x14ac:dyDescent="0.25">
      <c r="B23" s="53">
        <v>17</v>
      </c>
      <c r="C23" s="264" t="s">
        <v>21</v>
      </c>
      <c r="D23" s="79" t="s">
        <v>43</v>
      </c>
      <c r="E23" s="93">
        <f>IF(E4=10,"",IF(E$4="","",VLOOKUP(E$4,Calc,$B23,FALSE)))</f>
        <v>1</v>
      </c>
      <c r="F23" s="93">
        <f>IF(F4=10,"",IF(F$4="","",VLOOKUP(F$4,Calc,$B23,FALSE)))</f>
        <v>1</v>
      </c>
      <c r="G23" s="93">
        <f>IF(G4=10,"",IF(G$4="","",VLOOKUP(G$4,Calc,$B23,FALSE)))</f>
        <v>1</v>
      </c>
      <c r="H23" s="93">
        <f>IF(H4=10,"",IF(H$4="","",VLOOKUP(H$4,Calc,$B23,FALSE)))</f>
        <v>0.25</v>
      </c>
      <c r="I23" s="108"/>
    </row>
    <row r="24" spans="2:9" ht="17.100000000000001" customHeight="1" x14ac:dyDescent="0.25">
      <c r="B24" s="53">
        <v>18</v>
      </c>
      <c r="C24" s="265"/>
      <c r="D24" s="69" t="s">
        <v>44</v>
      </c>
      <c r="E24" s="83">
        <f>IF(E4=10,"",IF(E$4="","",VLOOKUP(E$4,Calc,$B24,FALSE)))</f>
        <v>0.02</v>
      </c>
      <c r="F24" s="83">
        <f>IF(F4=10,"",IF(F$4="","",VLOOKUP(F$4,Calc,$B24,FALSE)))</f>
        <v>0.02</v>
      </c>
      <c r="G24" s="83">
        <f>IF(G4=10,"",IF(G$4="","",VLOOKUP(G$4,Calc,$B24,FALSE)))</f>
        <v>0.01</v>
      </c>
      <c r="H24" s="83">
        <f>IF(H4=10,"",IF(H$4="","",VLOOKUP(H$4,Calc,$B24,FALSE)))</f>
        <v>0.02</v>
      </c>
      <c r="I24" s="108"/>
    </row>
    <row r="25" spans="2:9" ht="17.100000000000001" customHeight="1" x14ac:dyDescent="0.25">
      <c r="B25" s="53">
        <v>19</v>
      </c>
      <c r="C25" s="266"/>
      <c r="D25" s="74" t="s">
        <v>47</v>
      </c>
      <c r="E25" s="92">
        <f>IF(E4=10,"",IF(E$4="","",E19*(1-E24)))</f>
        <v>0.97019999999999995</v>
      </c>
      <c r="F25" s="92">
        <f>IF(F4=10,"",IF(F$4="","",F19*(1-F24)))</f>
        <v>0.97019999999999995</v>
      </c>
      <c r="G25" s="92">
        <f>IF(G4=10,"",IF(G$4="","",G19*(1-G24)))</f>
        <v>0.98504999999999998</v>
      </c>
      <c r="H25" s="92">
        <f>IF(H4=10,"",IF(H$4="","",H19*(1-H24)))</f>
        <v>0.97509999999999997</v>
      </c>
      <c r="I25" s="108"/>
    </row>
    <row r="26" spans="2:9" ht="17.25" customHeight="1" x14ac:dyDescent="0.25">
      <c r="B26" s="53">
        <v>9</v>
      </c>
      <c r="C26" s="269" t="s">
        <v>48</v>
      </c>
      <c r="D26" s="86" t="s">
        <v>37</v>
      </c>
      <c r="E26" s="87">
        <f t="shared" ref="E26:H28" si="4">IF(E$4="","",VLOOKUP(E$4,Costs,$B26))</f>
        <v>1.2046595379928713</v>
      </c>
      <c r="F26" s="87">
        <f t="shared" si="4"/>
        <v>1.1048435290859533</v>
      </c>
      <c r="G26" s="87">
        <f t="shared" si="4"/>
        <v>0.97776676776749616</v>
      </c>
      <c r="H26" s="87">
        <f t="shared" si="4"/>
        <v>1.6375654531356514</v>
      </c>
      <c r="I26" s="108"/>
    </row>
    <row r="27" spans="2:9" ht="17.25" customHeight="1" x14ac:dyDescent="0.25">
      <c r="B27" s="53">
        <v>10</v>
      </c>
      <c r="C27" s="270"/>
      <c r="D27" s="88" t="s">
        <v>38</v>
      </c>
      <c r="E27" s="89">
        <f t="shared" si="4"/>
        <v>0.27474691217381281</v>
      </c>
      <c r="F27" s="89">
        <f t="shared" si="4"/>
        <v>0.24306557639890974</v>
      </c>
      <c r="G27" s="89">
        <f t="shared" si="4"/>
        <v>0.30493065299867678</v>
      </c>
      <c r="H27" s="89">
        <f t="shared" si="4"/>
        <v>0.19140375426260858</v>
      </c>
      <c r="I27" s="108"/>
    </row>
    <row r="28" spans="2:9" ht="17.25" customHeight="1" x14ac:dyDescent="0.25">
      <c r="B28" s="53">
        <v>11</v>
      </c>
      <c r="C28" s="271"/>
      <c r="D28" s="90" t="s">
        <v>39</v>
      </c>
      <c r="E28" s="91">
        <f t="shared" si="4"/>
        <v>0.15660573993907329</v>
      </c>
      <c r="F28" s="91">
        <f t="shared" si="4"/>
        <v>0.12153278819945487</v>
      </c>
      <c r="G28" s="91">
        <f t="shared" si="4"/>
        <v>0.17990908526921928</v>
      </c>
      <c r="H28" s="91">
        <f t="shared" si="4"/>
        <v>0.14738089078220862</v>
      </c>
      <c r="I28" s="108"/>
    </row>
    <row r="29" spans="2:9" ht="17.100000000000001" customHeight="1" x14ac:dyDescent="0.25">
      <c r="B29" s="53">
        <v>20</v>
      </c>
      <c r="C29" s="264" t="s">
        <v>49</v>
      </c>
      <c r="D29" s="79" t="s">
        <v>43</v>
      </c>
      <c r="E29" s="93">
        <f>IF(E4=10,"",IF(E$4="","",VLOOKUP(E$4,Calc,$B29,FALSE)))</f>
        <v>5</v>
      </c>
      <c r="F29" s="93">
        <f>IF(F4=10,"",IF(F$4="","",VLOOKUP(F$4,Calc,$B29,FALSE)))</f>
        <v>5</v>
      </c>
      <c r="G29" s="93">
        <f>IF(G4=10,"",IF(G$4="","",VLOOKUP(G$4,Calc,$B29,FALSE)))</f>
        <v>7</v>
      </c>
      <c r="H29" s="93">
        <f>IF(H4=10,"",IF(H$4="","",VLOOKUP(H$4,Calc,$B29,FALSE)))</f>
        <v>0.1</v>
      </c>
      <c r="I29" s="108"/>
    </row>
    <row r="30" spans="2:9" ht="17.100000000000001" customHeight="1" x14ac:dyDescent="0.25">
      <c r="B30" s="53">
        <v>21</v>
      </c>
      <c r="C30" s="265"/>
      <c r="D30" s="69" t="s">
        <v>44</v>
      </c>
      <c r="E30" s="83">
        <f>IF(E4=10,"",IF(E$4="","",VLOOKUP(E$4,Calc,$B30,FALSE)))</f>
        <v>0.1</v>
      </c>
      <c r="F30" s="83">
        <f>IF(F4=10,"",IF(F$4="","",VLOOKUP(F$4,Calc,$B30,FALSE)))</f>
        <v>0.15</v>
      </c>
      <c r="G30" s="83">
        <f>IF(G4=10,"",IF(G$4="","",VLOOKUP(G$4,Calc,$B30,FALSE)))</f>
        <v>0.1</v>
      </c>
      <c r="H30" s="83">
        <f>IF(H4=10,"",IF(H$4="","",VLOOKUP(H$4,Calc,$B30,FALSE)))</f>
        <v>0.05</v>
      </c>
      <c r="I30" s="108"/>
    </row>
    <row r="31" spans="2:9" ht="17.100000000000001" customHeight="1" x14ac:dyDescent="0.25">
      <c r="B31" s="53">
        <v>22</v>
      </c>
      <c r="C31" s="266"/>
      <c r="D31" s="74" t="s">
        <v>50</v>
      </c>
      <c r="E31" s="92">
        <f>IF(E4=10,"",IF(E$4="","",E25*(1-E30)))</f>
        <v>0.87317999999999996</v>
      </c>
      <c r="F31" s="92">
        <f>IF(F4=10,"",IF(F$4="","",F25*(1-F30)))</f>
        <v>0.8246699999999999</v>
      </c>
      <c r="G31" s="92">
        <f>IF(G4=10,"",IF(G$4="","",G25*(1-G30)))</f>
        <v>0.88654500000000003</v>
      </c>
      <c r="H31" s="92">
        <f>IF(H4=10,"",IF(H$4="","",H25*(1-H30)))</f>
        <v>0.92634499999999997</v>
      </c>
      <c r="I31" s="108"/>
    </row>
    <row r="32" spans="2:9" ht="24.75" customHeight="1" x14ac:dyDescent="0.25">
      <c r="B32" s="53">
        <v>12</v>
      </c>
      <c r="C32" s="269" t="s">
        <v>51</v>
      </c>
      <c r="D32" s="86" t="s">
        <v>37</v>
      </c>
      <c r="E32" s="87">
        <f t="shared" ref="E32:H34" si="5">IF(E$4="","",VLOOKUP(E$4,Costs,$B32))</f>
        <v>1.362252288178214</v>
      </c>
      <c r="F32" s="87">
        <f t="shared" si="5"/>
        <v>1.3295247698099748</v>
      </c>
      <c r="G32" s="87">
        <f t="shared" si="5"/>
        <v>1.1098911482977547</v>
      </c>
      <c r="H32" s="87">
        <f t="shared" si="5"/>
        <v>1.7474866849289987</v>
      </c>
      <c r="I32" s="108"/>
    </row>
    <row r="33" spans="2:9" ht="24.75" customHeight="1" x14ac:dyDescent="0.25">
      <c r="B33" s="53">
        <v>13</v>
      </c>
      <c r="C33" s="270"/>
      <c r="D33" s="88" t="s">
        <v>38</v>
      </c>
      <c r="E33" s="89">
        <f t="shared" si="5"/>
        <v>0.31068911835643481</v>
      </c>
      <c r="F33" s="89">
        <f t="shared" si="5"/>
        <v>0.29249544935819444</v>
      </c>
      <c r="G33" s="89">
        <f t="shared" si="5"/>
        <v>0.34613554455387602</v>
      </c>
      <c r="H33" s="89">
        <f t="shared" si="5"/>
        <v>0.20425169044624658</v>
      </c>
      <c r="I33" s="108"/>
    </row>
    <row r="34" spans="2:9" ht="24.75" customHeight="1" x14ac:dyDescent="0.25">
      <c r="B34" s="53">
        <v>14</v>
      </c>
      <c r="C34" s="271"/>
      <c r="D34" s="90" t="s">
        <v>39</v>
      </c>
      <c r="E34" s="91">
        <f t="shared" si="5"/>
        <v>0.17709279746316783</v>
      </c>
      <c r="F34" s="91">
        <f t="shared" si="5"/>
        <v>0.14624772467909722</v>
      </c>
      <c r="G34" s="91">
        <f t="shared" si="5"/>
        <v>0.20421997128678684</v>
      </c>
      <c r="H34" s="91">
        <f t="shared" si="5"/>
        <v>0.15727380164360988</v>
      </c>
      <c r="I34" s="108"/>
    </row>
    <row r="35" spans="2:9" ht="13.5" thickBot="1" x14ac:dyDescent="0.25">
      <c r="B35" s="94"/>
      <c r="C35" s="37"/>
      <c r="D35" s="37"/>
      <c r="E35" s="37"/>
      <c r="F35" s="37"/>
      <c r="G35" s="37"/>
      <c r="H35" s="37"/>
      <c r="I35" s="108"/>
    </row>
  </sheetData>
  <sheetProtection sheet="1" objects="1" scenarios="1"/>
  <mergeCells count="9">
    <mergeCell ref="E3:H3"/>
    <mergeCell ref="C29:C31"/>
    <mergeCell ref="C8:C10"/>
    <mergeCell ref="C32:C34"/>
    <mergeCell ref="C14:C19"/>
    <mergeCell ref="C23:C25"/>
    <mergeCell ref="C11:C13"/>
    <mergeCell ref="C20:C22"/>
    <mergeCell ref="C26:C28"/>
  </mergeCells>
  <phoneticPr fontId="2" type="noConversion"/>
  <dataValidations count="1">
    <dataValidation type="whole" operator="greaterThan" allowBlank="1" showInputMessage="1" showErrorMessage="1" errorTitle="Restricted Data Entry" error="Only whole numbers between 1 and 10 can be entered into this cell." sqref="E4:H4">
      <formula1>0</formula1>
    </dataValidation>
  </dataValidations>
  <pageMargins left="0.75" right="0.75" top="0.28000000000000003" bottom="0.37" header="0.28000000000000003" footer="0.28000000000000003"/>
  <pageSetup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M34"/>
  <sheetViews>
    <sheetView workbookViewId="0"/>
  </sheetViews>
  <sheetFormatPr defaultColWidth="10.42578125" defaultRowHeight="12.75" x14ac:dyDescent="0.2"/>
  <cols>
    <col min="1" max="1" width="5" style="6" customWidth="1"/>
    <col min="2" max="2" width="4.42578125" style="6" customWidth="1"/>
    <col min="3" max="3" width="26.140625" style="6" customWidth="1"/>
    <col min="4" max="4" width="11.42578125" style="6" customWidth="1"/>
    <col min="5" max="5" width="7" style="6" customWidth="1"/>
    <col min="6" max="6" width="3.140625" style="4" customWidth="1"/>
    <col min="7" max="7" width="4.7109375" style="6" customWidth="1"/>
    <col min="8" max="8" width="15.7109375" style="6" customWidth="1"/>
    <col min="9" max="12" width="11.140625" style="6" customWidth="1"/>
    <col min="13" max="13" width="12.42578125" style="6" customWidth="1"/>
    <col min="14" max="16384" width="10.42578125" style="6"/>
  </cols>
  <sheetData>
    <row r="1" spans="2:13" ht="22.5" customHeight="1" thickBot="1" x14ac:dyDescent="0.4">
      <c r="B1" s="1" t="s">
        <v>0</v>
      </c>
      <c r="C1" s="2"/>
      <c r="D1" s="2"/>
      <c r="E1" s="3"/>
      <c r="G1" s="1" t="s">
        <v>1</v>
      </c>
      <c r="H1" s="3"/>
      <c r="I1" s="3"/>
      <c r="J1" s="3"/>
      <c r="K1" s="5"/>
      <c r="L1" s="2"/>
      <c r="M1" s="2"/>
    </row>
    <row r="2" spans="2:13" ht="18.75" thickBot="1" x14ac:dyDescent="0.3">
      <c r="B2" s="7"/>
      <c r="C2" s="8" t="s">
        <v>2</v>
      </c>
      <c r="D2" s="9">
        <v>1</v>
      </c>
      <c r="E2" s="10"/>
      <c r="F2" s="11"/>
      <c r="G2" s="12"/>
      <c r="H2" s="13"/>
      <c r="I2" s="14">
        <f>D2</f>
        <v>1</v>
      </c>
      <c r="J2" s="14">
        <f>D9</f>
        <v>2</v>
      </c>
      <c r="K2" s="14">
        <f>D16</f>
        <v>3</v>
      </c>
      <c r="L2" s="14">
        <f>D23</f>
        <v>10</v>
      </c>
      <c r="M2" s="15"/>
    </row>
    <row r="3" spans="2:13" ht="13.5" customHeight="1" thickTop="1" x14ac:dyDescent="0.2">
      <c r="B3" s="16"/>
      <c r="C3" s="17" t="s">
        <v>3</v>
      </c>
      <c r="D3" s="18">
        <v>5</v>
      </c>
      <c r="E3" s="19"/>
      <c r="F3" s="11"/>
      <c r="G3" s="20"/>
      <c r="H3" s="21"/>
      <c r="I3" s="279" t="str">
        <f>IF(I$2=0,"",VLOOKUP(I$2,Calc,$F4,FALSE))</f>
        <v>Grass Hay (Premium)</v>
      </c>
      <c r="J3" s="279" t="str">
        <f>IF(J$2=0,"",VLOOKUP(J$2,Calc,$F4,FALSE))</f>
        <v>Grass Hay</v>
      </c>
      <c r="K3" s="279" t="str">
        <f>IF(K$2=0,"",VLOOKUP(K$2,Calc,$F4,FALSE))</f>
        <v>Alfalfa Hay (Good)</v>
      </c>
      <c r="L3" s="279" t="str">
        <f>IF(L$2=0,"",VLOOKUP(L$2,Calc,$F4,FALSE))</f>
        <v>Corn Stalk Inputs</v>
      </c>
      <c r="M3" s="277" t="s">
        <v>4</v>
      </c>
    </row>
    <row r="4" spans="2:13" ht="13.5" customHeight="1" thickBot="1" x14ac:dyDescent="0.25">
      <c r="B4" s="16"/>
      <c r="C4" s="17" t="s">
        <v>5</v>
      </c>
      <c r="D4" s="18">
        <v>90</v>
      </c>
      <c r="E4" s="19"/>
      <c r="F4" s="22">
        <v>2</v>
      </c>
      <c r="G4" s="23"/>
      <c r="H4" s="24" t="s">
        <v>6</v>
      </c>
      <c r="I4" s="280"/>
      <c r="J4" s="280"/>
      <c r="K4" s="280"/>
      <c r="L4" s="280"/>
      <c r="M4" s="278"/>
    </row>
    <row r="5" spans="2:13" s="29" customFormat="1" ht="13.5" customHeight="1" thickTop="1" x14ac:dyDescent="0.2">
      <c r="B5" s="16"/>
      <c r="C5" s="17" t="s">
        <v>7</v>
      </c>
      <c r="D5" s="18">
        <v>30</v>
      </c>
      <c r="E5" s="19"/>
      <c r="F5" s="25">
        <v>3</v>
      </c>
      <c r="G5" s="276" t="s">
        <v>8</v>
      </c>
      <c r="H5" s="26" t="s">
        <v>9</v>
      </c>
      <c r="I5" s="27">
        <f t="shared" ref="I5:L6" si="0">IF(I$2=0,"",VLOOKUP(I$2,Calc,$F5,FALSE))</f>
        <v>250</v>
      </c>
      <c r="J5" s="27">
        <f t="shared" si="0"/>
        <v>200</v>
      </c>
      <c r="K5" s="27">
        <f t="shared" si="0"/>
        <v>300</v>
      </c>
      <c r="L5" s="27">
        <f t="shared" si="0"/>
        <v>10</v>
      </c>
      <c r="M5" s="28"/>
    </row>
    <row r="6" spans="2:13" ht="13.5" customHeight="1" x14ac:dyDescent="0.2">
      <c r="B6" s="16"/>
      <c r="C6" s="30" t="s">
        <v>0</v>
      </c>
      <c r="D6" s="31">
        <f>IF(I7=0,"",IF(D3="","",IF(D4="","",IF(D5="","",D3*D4*D5/I7))))</f>
        <v>6.75</v>
      </c>
      <c r="E6" s="32" t="str">
        <f>IF(D2=10,"",IF(D2="","",VLOOKUP(D2,Calc,23,FALSE)))</f>
        <v>ton</v>
      </c>
      <c r="F6" s="25">
        <v>5</v>
      </c>
      <c r="G6" s="272"/>
      <c r="H6" s="33" t="s">
        <v>10</v>
      </c>
      <c r="I6" s="34">
        <f t="shared" si="0"/>
        <v>0.9</v>
      </c>
      <c r="J6" s="34">
        <f t="shared" si="0"/>
        <v>0.9</v>
      </c>
      <c r="K6" s="34">
        <f t="shared" si="0"/>
        <v>0.9</v>
      </c>
      <c r="L6" s="34">
        <f t="shared" si="0"/>
        <v>0.9</v>
      </c>
      <c r="M6" s="35"/>
    </row>
    <row r="7" spans="2:13" ht="13.5" customHeight="1" thickBot="1" x14ac:dyDescent="0.25">
      <c r="B7" s="36"/>
      <c r="C7" s="37"/>
      <c r="D7" s="37"/>
      <c r="E7" s="38"/>
      <c r="F7" s="25">
        <v>6</v>
      </c>
      <c r="G7" s="272"/>
      <c r="H7" s="33" t="s">
        <v>11</v>
      </c>
      <c r="I7" s="39">
        <f>IF(I$2=0,"",VLOOKUP(I$2,Calc,$F8,FALSE))</f>
        <v>2000</v>
      </c>
      <c r="J7" s="39">
        <f>IF(J$2=0,"",VLOOKUP(J$2,Calc,$F8,FALSE))</f>
        <v>2000</v>
      </c>
      <c r="K7" s="39">
        <f>IF(K$2=0,"",VLOOKUP(K$2,Calc,$F8,FALSE))</f>
        <v>2000</v>
      </c>
      <c r="L7" s="39">
        <f>IF(L$2=0,"",VLOOKUP(L$2,Calc,$F8,FALSE))</f>
        <v>1573.4550000000002</v>
      </c>
      <c r="M7" s="40"/>
    </row>
    <row r="8" spans="2:13" ht="15.75" customHeight="1" thickBot="1" x14ac:dyDescent="0.25">
      <c r="F8" s="25">
        <v>4</v>
      </c>
      <c r="G8" s="272"/>
      <c r="H8" s="33" t="s">
        <v>12</v>
      </c>
      <c r="I8" s="41">
        <f>IF(I21="","",I21/(1-I15))</f>
        <v>7.7303648732220163</v>
      </c>
      <c r="J8" s="41">
        <f>IF(D13="","",J21/(1-J15))</f>
        <v>141.63256211575541</v>
      </c>
      <c r="K8" s="41">
        <f>IF(D20="","",K21/(1-K15))</f>
        <v>2.5379422364346986</v>
      </c>
      <c r="L8" s="41">
        <f>IF(D27="","",L21/(1-L15))</f>
        <v>134.98956118859451</v>
      </c>
      <c r="M8" s="28"/>
    </row>
    <row r="9" spans="2:13" ht="18.75" thickBot="1" x14ac:dyDescent="0.3">
      <c r="B9" s="7"/>
      <c r="C9" s="8" t="s">
        <v>2</v>
      </c>
      <c r="D9" s="9">
        <v>2</v>
      </c>
      <c r="E9" s="10"/>
      <c r="F9" s="25"/>
      <c r="G9" s="274"/>
      <c r="H9" s="42" t="s">
        <v>13</v>
      </c>
      <c r="I9" s="43">
        <f>IF(I8="","",I5*I8)</f>
        <v>1932.5912183055041</v>
      </c>
      <c r="J9" s="43">
        <f>IF(J8="","",J5*J8)</f>
        <v>28326.512423151082</v>
      </c>
      <c r="K9" s="43">
        <f>IF(K8="","",K5*K8)</f>
        <v>761.38267093040963</v>
      </c>
      <c r="L9" s="43">
        <f>IF(L8="","",L5*L8)</f>
        <v>1349.8956118859451</v>
      </c>
      <c r="M9" s="44">
        <f>SUM(I9:L9)</f>
        <v>32370.381924272941</v>
      </c>
    </row>
    <row r="10" spans="2:13" ht="13.5" thickTop="1" x14ac:dyDescent="0.2">
      <c r="B10" s="16"/>
      <c r="C10" s="17" t="s">
        <v>3</v>
      </c>
      <c r="D10" s="209">
        <v>25.955583333333333</v>
      </c>
      <c r="E10" s="19"/>
      <c r="F10" s="25">
        <v>13</v>
      </c>
      <c r="G10" s="275" t="s">
        <v>14</v>
      </c>
      <c r="H10" s="33"/>
      <c r="I10" s="21"/>
      <c r="J10" s="21"/>
      <c r="K10" s="21"/>
      <c r="L10" s="21"/>
      <c r="M10" s="45"/>
    </row>
    <row r="11" spans="2:13" x14ac:dyDescent="0.2">
      <c r="B11" s="16"/>
      <c r="C11" s="17" t="s">
        <v>5</v>
      </c>
      <c r="D11" s="210">
        <v>90</v>
      </c>
      <c r="E11" s="19"/>
      <c r="F11" s="25">
        <v>11</v>
      </c>
      <c r="G11" s="272"/>
      <c r="H11" s="33" t="s">
        <v>15</v>
      </c>
      <c r="I11" s="41">
        <f t="shared" ref="I11:L13" si="1">IF(I$2=0,"",VLOOKUP(I$2,Calc,$F10,FALSE))</f>
        <v>20</v>
      </c>
      <c r="J11" s="41">
        <f t="shared" si="1"/>
        <v>20</v>
      </c>
      <c r="K11" s="41">
        <f t="shared" si="1"/>
        <v>20</v>
      </c>
      <c r="L11" s="41">
        <f t="shared" si="1"/>
        <v>0</v>
      </c>
      <c r="M11" s="28"/>
    </row>
    <row r="12" spans="2:13" ht="12.75" customHeight="1" x14ac:dyDescent="0.2">
      <c r="B12" s="16"/>
      <c r="C12" s="17" t="s">
        <v>7</v>
      </c>
      <c r="D12" s="211">
        <v>100</v>
      </c>
      <c r="E12" s="19"/>
      <c r="F12" s="25">
        <v>12</v>
      </c>
      <c r="G12" s="272"/>
      <c r="H12" s="33" t="s">
        <v>16</v>
      </c>
      <c r="I12" s="41">
        <f t="shared" si="1"/>
        <v>4.5</v>
      </c>
      <c r="J12" s="41">
        <f t="shared" si="1"/>
        <v>4.5</v>
      </c>
      <c r="K12" s="41">
        <f t="shared" si="1"/>
        <v>4.5</v>
      </c>
      <c r="L12" s="41">
        <f t="shared" si="1"/>
        <v>0</v>
      </c>
      <c r="M12" s="28"/>
    </row>
    <row r="13" spans="2:13" x14ac:dyDescent="0.2">
      <c r="B13" s="16"/>
      <c r="C13" s="30" t="s">
        <v>0</v>
      </c>
      <c r="D13" s="31">
        <f>IF(J7=0,"",IF(D10="","",IF(D11="","",IF(D12="","",D10*D11*D12/J7))))</f>
        <v>116.80012499999999</v>
      </c>
      <c r="E13" s="32" t="str">
        <f>IF(D9=10,"",IF(D9="","",VLOOKUP(D9,Calc,23,FALSE)))</f>
        <v>ton</v>
      </c>
      <c r="F13" s="25"/>
      <c r="G13" s="272"/>
      <c r="H13" s="33" t="s">
        <v>17</v>
      </c>
      <c r="I13" s="41">
        <f t="shared" si="1"/>
        <v>100</v>
      </c>
      <c r="J13" s="41">
        <f t="shared" si="1"/>
        <v>50</v>
      </c>
      <c r="K13" s="41">
        <f t="shared" si="1"/>
        <v>80</v>
      </c>
      <c r="L13" s="41">
        <f t="shared" si="1"/>
        <v>0</v>
      </c>
      <c r="M13" s="28"/>
    </row>
    <row r="14" spans="2:13" ht="13.5" thickBot="1" x14ac:dyDescent="0.25">
      <c r="B14" s="36"/>
      <c r="C14" s="37"/>
      <c r="D14" s="37"/>
      <c r="E14" s="38"/>
      <c r="F14" s="25">
        <v>15</v>
      </c>
      <c r="G14" s="272"/>
      <c r="H14" s="33" t="s">
        <v>18</v>
      </c>
      <c r="I14" s="41">
        <f>IF(I11=0,0,IF(I2=0,"",I12*I13/I11))</f>
        <v>22.5</v>
      </c>
      <c r="J14" s="41">
        <f>IF(J11=0,0,IF(J2=0,"",J12*J13/J11))</f>
        <v>11.25</v>
      </c>
      <c r="K14" s="41">
        <f>IF(K11=0,0,IF(K2=0,"",K12*K13/K11))</f>
        <v>18</v>
      </c>
      <c r="L14" s="41">
        <f>IF(L11=0,0,IF(L2=0,"",L12*L13/L11))</f>
        <v>0</v>
      </c>
      <c r="M14" s="28"/>
    </row>
    <row r="15" spans="2:13" ht="13.5" thickBot="1" x14ac:dyDescent="0.25">
      <c r="F15" s="25"/>
      <c r="G15" s="272"/>
      <c r="H15" s="33" t="s">
        <v>19</v>
      </c>
      <c r="I15" s="34">
        <f>IF(I2=10,0,IF(I2=0,"",VLOOKUP(I2,Calc,$F14,FALSE)))</f>
        <v>0.01</v>
      </c>
      <c r="J15" s="34">
        <f>IF(J2=10,0,IF(J2=0,"",VLOOKUP(J2,Calc,$F14,FALSE)))</f>
        <v>0.01</v>
      </c>
      <c r="K15" s="34">
        <f>IF(K2=10,0,IF(K2=0,"",VLOOKUP(K2,Calc,$F14,FALSE)))</f>
        <v>5.0000000000000001E-3</v>
      </c>
      <c r="L15" s="34">
        <f>IF(L2=10,0,IF(L2=0,"",VLOOKUP(L2,Calc,$F14,FALSE)))</f>
        <v>0</v>
      </c>
      <c r="M15" s="35"/>
    </row>
    <row r="16" spans="2:13" ht="18.75" thickBot="1" x14ac:dyDescent="0.3">
      <c r="B16" s="7"/>
      <c r="C16" s="8" t="s">
        <v>2</v>
      </c>
      <c r="D16" s="9">
        <v>3</v>
      </c>
      <c r="E16" s="10"/>
      <c r="F16" s="25"/>
      <c r="G16" s="272"/>
      <c r="H16" s="33" t="s">
        <v>20</v>
      </c>
      <c r="I16" s="41">
        <f>IF(I8="","",I14*I8)</f>
        <v>173.93320964749537</v>
      </c>
      <c r="J16" s="41">
        <f>IF(D13="","",J14*J8)</f>
        <v>1593.3663238022484</v>
      </c>
      <c r="K16" s="41">
        <f>IF(D20="","",K14*K8)</f>
        <v>45.682960255824575</v>
      </c>
      <c r="L16" s="41">
        <f>IF(D27="","",L14*L8)</f>
        <v>0</v>
      </c>
      <c r="M16" s="28"/>
    </row>
    <row r="17" spans="2:13" ht="13.5" thickTop="1" x14ac:dyDescent="0.2">
      <c r="B17" s="16"/>
      <c r="C17" s="17" t="s">
        <v>3</v>
      </c>
      <c r="D17" s="18">
        <v>5</v>
      </c>
      <c r="E17" s="19"/>
      <c r="F17" s="25"/>
      <c r="G17" s="274"/>
      <c r="H17" s="42" t="s">
        <v>13</v>
      </c>
      <c r="I17" s="43">
        <f>IF(I9="","",I9+I16)</f>
        <v>2106.5244279529993</v>
      </c>
      <c r="J17" s="43">
        <f>IF(D13="","",J9+J16)</f>
        <v>29919.878746953331</v>
      </c>
      <c r="K17" s="43">
        <f>IF(D20="","",K9+K16)</f>
        <v>807.06563118623421</v>
      </c>
      <c r="L17" s="43">
        <f>IF(D27="","",L9+L16)</f>
        <v>1349.8956118859451</v>
      </c>
      <c r="M17" s="44">
        <f>SUM(I17:L17)</f>
        <v>34183.364417978504</v>
      </c>
    </row>
    <row r="18" spans="2:13" x14ac:dyDescent="0.2">
      <c r="B18" s="16"/>
      <c r="C18" s="17" t="s">
        <v>5</v>
      </c>
      <c r="D18" s="18">
        <v>30</v>
      </c>
      <c r="E18" s="19"/>
      <c r="F18" s="25"/>
      <c r="G18" s="46"/>
      <c r="H18" s="33"/>
      <c r="I18" s="21"/>
      <c r="J18" s="21"/>
      <c r="K18" s="21"/>
      <c r="L18" s="21"/>
      <c r="M18" s="45"/>
    </row>
    <row r="19" spans="2:13" x14ac:dyDescent="0.2">
      <c r="B19" s="16"/>
      <c r="C19" s="17" t="s">
        <v>7</v>
      </c>
      <c r="D19" s="18">
        <v>30</v>
      </c>
      <c r="E19" s="19"/>
      <c r="F19" s="25">
        <v>17</v>
      </c>
      <c r="G19" s="272" t="s">
        <v>21</v>
      </c>
      <c r="H19" s="33" t="s">
        <v>18</v>
      </c>
      <c r="I19" s="41">
        <f t="shared" ref="I19:L20" si="2">IF(I$2=0,"",VLOOKUP(I$2,Calc,$F19,FALSE))</f>
        <v>1</v>
      </c>
      <c r="J19" s="41">
        <f t="shared" si="2"/>
        <v>1</v>
      </c>
      <c r="K19" s="41">
        <f t="shared" si="2"/>
        <v>1</v>
      </c>
      <c r="L19" s="41">
        <f t="shared" si="2"/>
        <v>0</v>
      </c>
      <c r="M19" s="28"/>
    </row>
    <row r="20" spans="2:13" x14ac:dyDescent="0.2">
      <c r="B20" s="16"/>
      <c r="C20" s="30" t="s">
        <v>0</v>
      </c>
      <c r="D20" s="31">
        <f>IF(K7=0,"",IF(D17="","",IF(D18="","",IF(D19="","",D17*D18*D19/K7))))</f>
        <v>2.25</v>
      </c>
      <c r="E20" s="32" t="str">
        <f>IF(D16=10,"",IF(D16="","",VLOOKUP(D16,Calc,23,FALSE)))</f>
        <v>ton</v>
      </c>
      <c r="F20" s="25">
        <v>18</v>
      </c>
      <c r="G20" s="272"/>
      <c r="H20" s="33" t="s">
        <v>19</v>
      </c>
      <c r="I20" s="34">
        <f t="shared" si="2"/>
        <v>0.02</v>
      </c>
      <c r="J20" s="34">
        <f t="shared" si="2"/>
        <v>0.02</v>
      </c>
      <c r="K20" s="34">
        <f t="shared" si="2"/>
        <v>0.01</v>
      </c>
      <c r="L20" s="34">
        <f t="shared" si="2"/>
        <v>0</v>
      </c>
      <c r="M20" s="35"/>
    </row>
    <row r="21" spans="2:13" ht="12.75" customHeight="1" thickBot="1" x14ac:dyDescent="0.25">
      <c r="B21" s="36"/>
      <c r="C21" s="37"/>
      <c r="D21" s="37"/>
      <c r="E21" s="38"/>
      <c r="F21" s="25"/>
      <c r="G21" s="272"/>
      <c r="H21" s="33" t="s">
        <v>22</v>
      </c>
      <c r="I21" s="41">
        <f>IF(I27="","",I27/(1-I20))</f>
        <v>7.6530612244897958</v>
      </c>
      <c r="J21" s="41">
        <f>IF(D13="","",J27/(1-J20))</f>
        <v>140.21623649459784</v>
      </c>
      <c r="K21" s="41">
        <f>IF(D20="","",K27/(1-K20))</f>
        <v>2.5252525252525251</v>
      </c>
      <c r="L21" s="41">
        <f>IF(D27="","",L27/(1-L20))</f>
        <v>134.98956118859451</v>
      </c>
      <c r="M21" s="28"/>
    </row>
    <row r="22" spans="2:13" ht="12.75" customHeight="1" thickBot="1" x14ac:dyDescent="0.25">
      <c r="F22" s="25"/>
      <c r="G22" s="272"/>
      <c r="H22" s="33" t="s">
        <v>23</v>
      </c>
      <c r="I22" s="41">
        <f>IF(I21="","",I19*I21)</f>
        <v>7.6530612244897958</v>
      </c>
      <c r="J22" s="41">
        <f>IF(D13="","",J19*J21)</f>
        <v>140.21623649459784</v>
      </c>
      <c r="K22" s="41">
        <f>IF(D20="","",K19*K21)</f>
        <v>2.5252525252525251</v>
      </c>
      <c r="L22" s="41">
        <f>IF(D27="","",L19*L21)</f>
        <v>0</v>
      </c>
      <c r="M22" s="28"/>
    </row>
    <row r="23" spans="2:13" ht="18.75" thickBot="1" x14ac:dyDescent="0.3">
      <c r="B23" s="7"/>
      <c r="C23" s="8" t="s">
        <v>2</v>
      </c>
      <c r="D23" s="9">
        <v>10</v>
      </c>
      <c r="E23" s="10"/>
      <c r="F23" s="25"/>
      <c r="G23" s="274"/>
      <c r="H23" s="42" t="s">
        <v>24</v>
      </c>
      <c r="I23" s="43">
        <f>IF(I22="","",I17+I22)</f>
        <v>2114.177489177489</v>
      </c>
      <c r="J23" s="43">
        <f>IF(D13="","",J17+J22)</f>
        <v>30060.094983447929</v>
      </c>
      <c r="K23" s="43">
        <f>IF(D20="","",K17+K22)</f>
        <v>809.59088371148675</v>
      </c>
      <c r="L23" s="43">
        <f>IF(D27="","",L17+L22)</f>
        <v>1349.8956118859451</v>
      </c>
      <c r="M23" s="44">
        <f>SUM(I23:L23)</f>
        <v>34333.758968222843</v>
      </c>
    </row>
    <row r="24" spans="2:13" ht="15.75" customHeight="1" thickTop="1" x14ac:dyDescent="0.2">
      <c r="B24" s="16"/>
      <c r="C24" s="17" t="s">
        <v>3</v>
      </c>
      <c r="D24" s="18">
        <v>23.6</v>
      </c>
      <c r="E24" s="19"/>
      <c r="F24" s="25"/>
      <c r="G24" s="46"/>
      <c r="H24" s="33"/>
      <c r="I24" s="21"/>
      <c r="J24" s="21"/>
      <c r="K24" s="21"/>
      <c r="L24" s="21"/>
      <c r="M24" s="45"/>
    </row>
    <row r="25" spans="2:13" ht="12.75" customHeight="1" x14ac:dyDescent="0.2">
      <c r="B25" s="16"/>
      <c r="C25" s="17" t="s">
        <v>5</v>
      </c>
      <c r="D25" s="18">
        <v>100</v>
      </c>
      <c r="E25" s="19"/>
      <c r="F25" s="25">
        <v>20</v>
      </c>
      <c r="G25" s="272" t="s">
        <v>25</v>
      </c>
      <c r="H25" s="33" t="s">
        <v>18</v>
      </c>
      <c r="I25" s="41">
        <f t="shared" ref="I25:L26" si="3">IF(I$2=0,"",VLOOKUP(I$2,Calc,$F25,FALSE))</f>
        <v>5</v>
      </c>
      <c r="J25" s="41">
        <f t="shared" si="3"/>
        <v>5</v>
      </c>
      <c r="K25" s="41">
        <f t="shared" si="3"/>
        <v>7</v>
      </c>
      <c r="L25" s="41">
        <f t="shared" si="3"/>
        <v>0</v>
      </c>
      <c r="M25" s="28"/>
    </row>
    <row r="26" spans="2:13" ht="12.75" customHeight="1" x14ac:dyDescent="0.2">
      <c r="B26" s="16"/>
      <c r="C26" s="17" t="s">
        <v>7</v>
      </c>
      <c r="D26" s="18">
        <v>90</v>
      </c>
      <c r="E26" s="19"/>
      <c r="F26" s="25">
        <v>21</v>
      </c>
      <c r="G26" s="272"/>
      <c r="H26" s="33" t="s">
        <v>19</v>
      </c>
      <c r="I26" s="34">
        <f t="shared" si="3"/>
        <v>0.1</v>
      </c>
      <c r="J26" s="34">
        <f t="shared" si="3"/>
        <v>0.15</v>
      </c>
      <c r="K26" s="34">
        <f t="shared" si="3"/>
        <v>0.1</v>
      </c>
      <c r="L26" s="34">
        <f t="shared" si="3"/>
        <v>0</v>
      </c>
      <c r="M26" s="35"/>
    </row>
    <row r="27" spans="2:13" ht="12.75" customHeight="1" x14ac:dyDescent="0.2">
      <c r="B27" s="16"/>
      <c r="C27" s="30" t="s">
        <v>0</v>
      </c>
      <c r="D27" s="31">
        <f>IF(L7=0,"",IF(D24="","",IF(D25="","",IF(D26="","",D24*D25*D26/L7))))</f>
        <v>134.98956118859451</v>
      </c>
      <c r="E27" s="32" t="str">
        <f>IF(D23=10,"",IF(D23="","",VLOOKUP(D23,Calc,23,FALSE)))</f>
        <v/>
      </c>
      <c r="F27" s="25"/>
      <c r="G27" s="272"/>
      <c r="H27" s="33" t="s">
        <v>26</v>
      </c>
      <c r="I27" s="41">
        <f>IF(D6="","",D6/(1-I26))</f>
        <v>7.5</v>
      </c>
      <c r="J27" s="41">
        <f>IF(D13="","",D13/(1-J26))</f>
        <v>137.41191176470588</v>
      </c>
      <c r="K27" s="41">
        <f>IF(D20="","",D20/(1-K26))</f>
        <v>2.5</v>
      </c>
      <c r="L27" s="41">
        <f>IF(D27="","",D27/(1-L26))</f>
        <v>134.98956118859451</v>
      </c>
      <c r="M27" s="28"/>
    </row>
    <row r="28" spans="2:13" ht="12.75" customHeight="1" thickBot="1" x14ac:dyDescent="0.25">
      <c r="B28" s="36"/>
      <c r="C28" s="37"/>
      <c r="D28" s="37"/>
      <c r="E28" s="38"/>
      <c r="F28" s="25"/>
      <c r="G28" s="272"/>
      <c r="H28" s="33" t="s">
        <v>27</v>
      </c>
      <c r="I28" s="41">
        <f>IF(I27="","",I25*I27)</f>
        <v>37.5</v>
      </c>
      <c r="J28" s="41">
        <f>IF(J27="","",J25*J27)</f>
        <v>687.05955882352941</v>
      </c>
      <c r="K28" s="41">
        <f>IF(D20="","",K25*K27)</f>
        <v>17.5</v>
      </c>
      <c r="L28" s="41">
        <f>IF(D27="","",L25*L27)</f>
        <v>0</v>
      </c>
      <c r="M28" s="28"/>
    </row>
    <row r="29" spans="2:13" ht="13.5" thickBot="1" x14ac:dyDescent="0.25">
      <c r="F29" s="25"/>
      <c r="G29" s="273"/>
      <c r="H29" s="47" t="s">
        <v>28</v>
      </c>
      <c r="I29" s="48">
        <f>IF(I27="","",I23+I28)</f>
        <v>2151.677489177489</v>
      </c>
      <c r="J29" s="48">
        <f>IF(J27="","",J23+J28)</f>
        <v>30747.154542271459</v>
      </c>
      <c r="K29" s="48">
        <f>IF(D20="","",K23+K28)</f>
        <v>827.09088371148675</v>
      </c>
      <c r="L29" s="48">
        <f>IF(D27="","",L23+L28)</f>
        <v>1349.8956118859451</v>
      </c>
      <c r="M29" s="49">
        <f>SUM(I29:L29)</f>
        <v>35075.818527046373</v>
      </c>
    </row>
    <row r="30" spans="2:13" ht="15.75" customHeight="1" x14ac:dyDescent="0.2"/>
    <row r="31" spans="2:13" ht="12.75" customHeight="1" x14ac:dyDescent="0.2"/>
    <row r="32" spans="2:13" ht="12.75" customHeight="1" x14ac:dyDescent="0.2"/>
    <row r="33" ht="12.75" customHeight="1" x14ac:dyDescent="0.2"/>
    <row r="34" ht="12.75" customHeight="1" x14ac:dyDescent="0.2"/>
  </sheetData>
  <sheetProtection sheet="1" objects="1" scenarios="1"/>
  <mergeCells count="9">
    <mergeCell ref="G25:G29"/>
    <mergeCell ref="G19:G23"/>
    <mergeCell ref="G10:G17"/>
    <mergeCell ref="G5:G9"/>
    <mergeCell ref="M3:M4"/>
    <mergeCell ref="I3:I4"/>
    <mergeCell ref="J3:J4"/>
    <mergeCell ref="K3:K4"/>
    <mergeCell ref="L3:L4"/>
  </mergeCells>
  <phoneticPr fontId="2" type="noConversion"/>
  <dataValidations count="3">
    <dataValidation type="whole" allowBlank="1" showErrorMessage="1" errorTitle="Restricted Entry" error="Only whole numbers between 1 and 10 may be entered in this cell." prompt="Only whole numbers between 1 and 10 may be entered" sqref="D2 D23 D16 D9">
      <formula1>1</formula1>
      <formula2>10</formula2>
    </dataValidation>
    <dataValidation type="decimal" operator="greaterThanOrEqual" allowBlank="1" showInputMessage="1" showErrorMessage="1" errorTitle="Restricted Data Entry" error="Only positive numbers can be entered into this cell." sqref="D3 D24 D17">
      <formula1>0</formula1>
    </dataValidation>
    <dataValidation type="whole" operator="greaterThanOrEqual" allowBlank="1" showInputMessage="1" showErrorMessage="1" errorTitle="Restricted Data Entry" error="Only positive, whole numbers can be entered into this cell" sqref="D4:D5 D25:D26 D18:D19 D11:D12">
      <formula1>0</formula1>
    </dataValidation>
  </dataValidations>
  <pageMargins left="0.75" right="0.75" top="1" bottom="1" header="0.5" footer="0.5"/>
  <pageSetup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7"/>
  <sheetViews>
    <sheetView workbookViewId="0">
      <pane xSplit="1" ySplit="1" topLeftCell="B2" activePane="bottomRight" state="frozen"/>
      <selection pane="topRight" activeCell="B1" sqref="B1"/>
      <selection pane="bottomLeft" activeCell="A2" sqref="A2"/>
      <selection pane="bottomRight" activeCell="A38" sqref="A38"/>
    </sheetView>
  </sheetViews>
  <sheetFormatPr defaultColWidth="11.42578125" defaultRowHeight="12.75" x14ac:dyDescent="0.2"/>
  <cols>
    <col min="1" max="1" width="35" style="240" customWidth="1"/>
    <col min="2" max="2" width="13" style="240" customWidth="1"/>
    <col min="3" max="3" width="11" style="240" customWidth="1"/>
    <col min="4" max="6" width="7" style="240" customWidth="1"/>
    <col min="7" max="9" width="11" style="240" customWidth="1"/>
    <col min="10" max="10" width="11.42578125" style="239" customWidth="1"/>
    <col min="11" max="11" width="11" style="240" customWidth="1"/>
    <col min="12" max="12" width="11.42578125" style="239" customWidth="1"/>
    <col min="13" max="13" width="11" style="240" customWidth="1"/>
    <col min="14" max="16384" width="11.42578125" style="239"/>
  </cols>
  <sheetData>
    <row r="1" spans="1:18" x14ac:dyDescent="0.2">
      <c r="B1" s="240" t="s">
        <v>396</v>
      </c>
      <c r="C1" s="240" t="s">
        <v>395</v>
      </c>
      <c r="D1" s="240" t="s">
        <v>394</v>
      </c>
      <c r="E1" s="240" t="s">
        <v>393</v>
      </c>
      <c r="F1" s="240" t="s">
        <v>392</v>
      </c>
      <c r="G1" s="240" t="s">
        <v>391</v>
      </c>
      <c r="H1" s="240" t="s">
        <v>390</v>
      </c>
      <c r="I1" s="240" t="s">
        <v>102</v>
      </c>
      <c r="J1" s="240" t="s">
        <v>389</v>
      </c>
      <c r="K1" s="240" t="s">
        <v>388</v>
      </c>
      <c r="L1" s="240" t="s">
        <v>387</v>
      </c>
      <c r="M1" s="240" t="s">
        <v>386</v>
      </c>
      <c r="N1" s="240" t="s">
        <v>385</v>
      </c>
      <c r="O1" s="240"/>
      <c r="P1" s="240"/>
      <c r="Q1" s="240"/>
      <c r="R1" s="240"/>
    </row>
    <row r="2" spans="1:18" ht="15" x14ac:dyDescent="0.2">
      <c r="A2" s="242" t="s">
        <v>384</v>
      </c>
      <c r="L2" s="240"/>
      <c r="N2" s="240"/>
      <c r="O2" s="240"/>
      <c r="P2" s="240"/>
      <c r="Q2" s="240"/>
      <c r="R2" s="240"/>
    </row>
    <row r="3" spans="1:18" x14ac:dyDescent="0.2">
      <c r="A3" s="240" t="s">
        <v>162</v>
      </c>
      <c r="B3" s="241">
        <v>89</v>
      </c>
      <c r="C3" s="241">
        <v>12</v>
      </c>
      <c r="D3" s="241">
        <v>20</v>
      </c>
      <c r="E3" s="241">
        <f t="shared" ref="E3:E26" si="0">100-D3</f>
        <v>80</v>
      </c>
      <c r="F3" s="241">
        <v>88</v>
      </c>
      <c r="G3" s="241">
        <v>64</v>
      </c>
      <c r="H3" s="241">
        <v>93</v>
      </c>
      <c r="I3" s="241">
        <v>83</v>
      </c>
      <c r="J3" s="241">
        <v>0.05</v>
      </c>
      <c r="K3" s="241">
        <v>0.37</v>
      </c>
      <c r="L3" s="241">
        <v>0.47</v>
      </c>
      <c r="M3" s="241">
        <v>0.18</v>
      </c>
      <c r="N3" s="241">
        <v>0.15</v>
      </c>
      <c r="O3" s="241"/>
      <c r="P3" s="241"/>
      <c r="Q3" s="241"/>
      <c r="R3" s="241"/>
    </row>
    <row r="4" spans="1:18" x14ac:dyDescent="0.2">
      <c r="A4" s="240" t="s">
        <v>383</v>
      </c>
      <c r="B4" s="241">
        <v>89</v>
      </c>
      <c r="C4" s="241">
        <v>11</v>
      </c>
      <c r="D4" s="241">
        <v>20</v>
      </c>
      <c r="E4" s="241">
        <f t="shared" si="0"/>
        <v>80</v>
      </c>
      <c r="F4" s="241">
        <v>86</v>
      </c>
      <c r="G4" s="241">
        <v>66</v>
      </c>
      <c r="H4" s="241">
        <v>96</v>
      </c>
      <c r="I4" s="241">
        <v>86</v>
      </c>
      <c r="J4" s="241">
        <v>7.0000000000000007E-2</v>
      </c>
      <c r="K4" s="241">
        <v>0.39</v>
      </c>
      <c r="L4" s="241">
        <v>0.47</v>
      </c>
      <c r="M4" s="241">
        <v>0.16</v>
      </c>
      <c r="N4" s="241">
        <v>0.15</v>
      </c>
      <c r="O4" s="241"/>
      <c r="P4" s="241"/>
      <c r="Q4" s="241"/>
      <c r="R4" s="241"/>
    </row>
    <row r="5" spans="1:18" x14ac:dyDescent="0.2">
      <c r="A5" s="240" t="s">
        <v>382</v>
      </c>
      <c r="B5" s="241">
        <v>89</v>
      </c>
      <c r="C5" s="241">
        <v>13</v>
      </c>
      <c r="D5" s="241">
        <v>20</v>
      </c>
      <c r="E5" s="241">
        <f t="shared" si="0"/>
        <v>80</v>
      </c>
      <c r="F5" s="241">
        <v>79</v>
      </c>
      <c r="G5" s="241">
        <v>55</v>
      </c>
      <c r="H5" s="241">
        <v>84</v>
      </c>
      <c r="I5" s="241">
        <v>77</v>
      </c>
      <c r="J5" s="241">
        <v>7.0000000000000007E-2</v>
      </c>
      <c r="K5" s="241">
        <v>0.37</v>
      </c>
      <c r="L5" s="241">
        <v>0.47</v>
      </c>
      <c r="M5" s="241">
        <v>0.18</v>
      </c>
      <c r="N5" s="241">
        <v>0.15</v>
      </c>
      <c r="O5" s="241"/>
      <c r="P5" s="241"/>
      <c r="Q5" s="241"/>
      <c r="R5" s="241"/>
    </row>
    <row r="6" spans="1:18" x14ac:dyDescent="0.2">
      <c r="A6" s="240" t="s">
        <v>381</v>
      </c>
      <c r="B6" s="241">
        <v>86</v>
      </c>
      <c r="C6" s="241">
        <v>8.4</v>
      </c>
      <c r="D6" s="241">
        <v>60</v>
      </c>
      <c r="E6" s="241">
        <f t="shared" si="0"/>
        <v>40</v>
      </c>
      <c r="F6" s="241">
        <v>84</v>
      </c>
      <c r="G6" s="241">
        <v>70</v>
      </c>
      <c r="H6" s="241">
        <v>102</v>
      </c>
      <c r="I6" s="241">
        <v>90</v>
      </c>
      <c r="J6" s="241">
        <v>0.02</v>
      </c>
      <c r="K6" s="241">
        <v>0.31</v>
      </c>
      <c r="L6" s="241">
        <v>0.31</v>
      </c>
      <c r="M6" s="241">
        <v>0.14000000000000001</v>
      </c>
      <c r="N6" s="241">
        <v>0.13</v>
      </c>
      <c r="O6" s="241"/>
      <c r="P6" s="241"/>
      <c r="Q6" s="241"/>
      <c r="R6" s="241"/>
    </row>
    <row r="7" spans="1:18" x14ac:dyDescent="0.2">
      <c r="A7" s="240" t="s">
        <v>380</v>
      </c>
      <c r="B7" s="241">
        <v>87</v>
      </c>
      <c r="C7" s="241">
        <v>7</v>
      </c>
      <c r="D7" s="241">
        <v>60</v>
      </c>
      <c r="E7" s="241">
        <f t="shared" si="0"/>
        <v>40</v>
      </c>
      <c r="F7" s="241">
        <v>87</v>
      </c>
      <c r="G7" s="241">
        <v>62</v>
      </c>
      <c r="H7" s="241">
        <v>92</v>
      </c>
      <c r="I7" s="241">
        <v>83</v>
      </c>
      <c r="J7" s="241">
        <v>0.05</v>
      </c>
      <c r="K7" s="241">
        <v>0.28000000000000003</v>
      </c>
      <c r="L7" s="241">
        <v>0.53</v>
      </c>
      <c r="M7" s="241">
        <v>0.16</v>
      </c>
      <c r="N7" s="241">
        <v>0.17</v>
      </c>
      <c r="O7" s="241"/>
      <c r="P7" s="241"/>
      <c r="Q7" s="241"/>
      <c r="R7" s="241"/>
    </row>
    <row r="8" spans="1:18" x14ac:dyDescent="0.2">
      <c r="A8" s="240" t="s">
        <v>379</v>
      </c>
      <c r="B8" s="241">
        <v>82</v>
      </c>
      <c r="C8" s="241">
        <v>8.4</v>
      </c>
      <c r="D8" s="241">
        <v>60</v>
      </c>
      <c r="E8" s="241">
        <f t="shared" si="0"/>
        <v>40</v>
      </c>
      <c r="F8" s="241">
        <v>93</v>
      </c>
      <c r="G8" s="241">
        <v>73</v>
      </c>
      <c r="H8" s="241">
        <v>106</v>
      </c>
      <c r="I8" s="241">
        <v>99</v>
      </c>
      <c r="J8" s="241">
        <v>0.02</v>
      </c>
      <c r="K8" s="241">
        <v>0.31</v>
      </c>
      <c r="L8" s="241">
        <v>0.31</v>
      </c>
      <c r="M8" s="241">
        <v>0.14000000000000001</v>
      </c>
      <c r="N8" s="241">
        <v>0.13</v>
      </c>
      <c r="O8" s="241"/>
      <c r="P8" s="241"/>
      <c r="Q8" s="241"/>
      <c r="R8" s="241"/>
    </row>
    <row r="9" spans="1:18" x14ac:dyDescent="0.2">
      <c r="A9" s="240" t="s">
        <v>378</v>
      </c>
      <c r="B9" s="241">
        <v>75</v>
      </c>
      <c r="C9" s="241">
        <v>8.4</v>
      </c>
      <c r="D9" s="241">
        <v>40</v>
      </c>
      <c r="E9" s="241">
        <f t="shared" si="0"/>
        <v>60</v>
      </c>
      <c r="F9" s="241">
        <v>93</v>
      </c>
      <c r="G9" s="241">
        <v>70</v>
      </c>
      <c r="H9" s="241">
        <v>102</v>
      </c>
      <c r="I9" s="241">
        <v>93</v>
      </c>
      <c r="J9" s="241">
        <v>0.02</v>
      </c>
      <c r="K9" s="241">
        <v>0.31</v>
      </c>
      <c r="L9" s="241">
        <v>0.31</v>
      </c>
      <c r="M9" s="241">
        <v>0.14000000000000001</v>
      </c>
      <c r="N9" s="241">
        <v>0.13</v>
      </c>
      <c r="O9" s="241"/>
      <c r="P9" s="241"/>
      <c r="Q9" s="241"/>
      <c r="R9" s="241"/>
    </row>
    <row r="10" spans="1:18" x14ac:dyDescent="0.2">
      <c r="A10" s="240" t="s">
        <v>377</v>
      </c>
      <c r="B10" s="241">
        <v>75</v>
      </c>
      <c r="C10" s="241">
        <v>7</v>
      </c>
      <c r="D10" s="241">
        <v>40</v>
      </c>
      <c r="E10" s="241">
        <f t="shared" si="0"/>
        <v>60</v>
      </c>
      <c r="F10" s="241">
        <v>84</v>
      </c>
      <c r="G10" s="241">
        <v>62</v>
      </c>
      <c r="H10" s="241">
        <v>92</v>
      </c>
      <c r="I10" s="241">
        <v>83</v>
      </c>
      <c r="J10" s="241">
        <v>0.05</v>
      </c>
      <c r="K10" s="241">
        <v>0.28000000000000003</v>
      </c>
      <c r="L10" s="241">
        <v>0.53</v>
      </c>
      <c r="M10" s="241">
        <v>0.16</v>
      </c>
      <c r="N10" s="241">
        <v>0.17</v>
      </c>
      <c r="O10" s="241"/>
      <c r="P10" s="241"/>
      <c r="Q10" s="241"/>
      <c r="R10" s="241"/>
    </row>
    <row r="11" spans="1:18" x14ac:dyDescent="0.2">
      <c r="A11" s="240" t="s">
        <v>376</v>
      </c>
      <c r="B11" s="241">
        <v>74</v>
      </c>
      <c r="C11" s="241">
        <v>7</v>
      </c>
      <c r="D11" s="241">
        <v>40</v>
      </c>
      <c r="E11" s="241">
        <f t="shared" si="0"/>
        <v>60</v>
      </c>
      <c r="F11" s="241">
        <v>75</v>
      </c>
      <c r="G11" s="241">
        <v>59</v>
      </c>
      <c r="H11" s="241">
        <v>90</v>
      </c>
      <c r="I11" s="241">
        <v>81</v>
      </c>
      <c r="J11" s="241">
        <v>0.06</v>
      </c>
      <c r="K11" s="241">
        <v>0.27</v>
      </c>
      <c r="L11" s="241">
        <v>0.49</v>
      </c>
      <c r="M11" s="241">
        <v>0.13</v>
      </c>
      <c r="N11" s="241">
        <v>0.15</v>
      </c>
      <c r="O11" s="241"/>
      <c r="P11" s="241"/>
      <c r="Q11" s="241"/>
      <c r="R11" s="241"/>
    </row>
    <row r="12" spans="1:18" x14ac:dyDescent="0.2">
      <c r="A12" s="240" t="s">
        <v>375</v>
      </c>
      <c r="B12" s="241">
        <v>90</v>
      </c>
      <c r="C12" s="241">
        <v>12.9</v>
      </c>
      <c r="D12" s="241">
        <v>30</v>
      </c>
      <c r="E12" s="241">
        <f t="shared" si="0"/>
        <v>70</v>
      </c>
      <c r="F12" s="241">
        <v>88</v>
      </c>
      <c r="G12" s="241">
        <v>64</v>
      </c>
      <c r="H12" s="241">
        <v>93</v>
      </c>
      <c r="I12" s="241">
        <v>84</v>
      </c>
      <c r="J12" s="241">
        <v>0.03</v>
      </c>
      <c r="K12" s="241">
        <v>0.31</v>
      </c>
      <c r="L12" s="241">
        <v>0.48</v>
      </c>
      <c r="M12" s="241">
        <v>0.14000000000000001</v>
      </c>
      <c r="N12" s="241">
        <v>0.18</v>
      </c>
      <c r="O12" s="241"/>
      <c r="P12" s="241"/>
      <c r="Q12" s="241"/>
      <c r="R12" s="241"/>
    </row>
    <row r="13" spans="1:18" x14ac:dyDescent="0.2">
      <c r="A13" s="240" t="s">
        <v>161</v>
      </c>
      <c r="B13" s="241">
        <v>89</v>
      </c>
      <c r="C13" s="241">
        <v>13.6</v>
      </c>
      <c r="D13" s="241">
        <v>30</v>
      </c>
      <c r="E13" s="241">
        <f t="shared" si="0"/>
        <v>70</v>
      </c>
      <c r="F13" s="241">
        <v>80</v>
      </c>
      <c r="G13" s="241">
        <v>55</v>
      </c>
      <c r="H13" s="241">
        <v>84</v>
      </c>
      <c r="I13" s="241">
        <v>77</v>
      </c>
      <c r="J13" s="241">
        <v>7.0000000000000007E-2</v>
      </c>
      <c r="K13" s="241">
        <v>0.36</v>
      </c>
      <c r="L13" s="241">
        <v>0.42</v>
      </c>
      <c r="M13" s="241">
        <v>0.23</v>
      </c>
      <c r="N13" s="241">
        <v>0.14000000000000001</v>
      </c>
      <c r="O13" s="241"/>
      <c r="P13" s="241"/>
      <c r="Q13" s="241"/>
      <c r="R13" s="241"/>
    </row>
    <row r="14" spans="1:18" x14ac:dyDescent="0.2">
      <c r="A14" s="240" t="s">
        <v>374</v>
      </c>
      <c r="B14" s="241">
        <v>89</v>
      </c>
      <c r="C14" s="241">
        <v>13.2</v>
      </c>
      <c r="D14" s="241">
        <v>30</v>
      </c>
      <c r="E14" s="241">
        <f t="shared" si="0"/>
        <v>70</v>
      </c>
      <c r="F14" s="241">
        <v>68</v>
      </c>
      <c r="G14" s="241">
        <v>53</v>
      </c>
      <c r="H14" s="241">
        <v>81</v>
      </c>
      <c r="I14" s="241">
        <v>74</v>
      </c>
      <c r="J14" s="241">
        <v>0.1</v>
      </c>
      <c r="K14" s="241">
        <v>0.11</v>
      </c>
      <c r="L14" s="241">
        <v>0.49</v>
      </c>
      <c r="M14" s="241">
        <v>0.23</v>
      </c>
      <c r="N14" s="241">
        <v>0.17</v>
      </c>
      <c r="O14" s="241"/>
      <c r="P14" s="241"/>
      <c r="Q14" s="241"/>
      <c r="R14" s="241"/>
    </row>
    <row r="15" spans="1:18" x14ac:dyDescent="0.2">
      <c r="A15" s="240" t="s">
        <v>373</v>
      </c>
      <c r="B15" s="241">
        <v>89</v>
      </c>
      <c r="C15" s="241">
        <v>12.8</v>
      </c>
      <c r="D15" s="241">
        <v>30</v>
      </c>
      <c r="E15" s="241">
        <f t="shared" si="0"/>
        <v>70</v>
      </c>
      <c r="F15" s="241">
        <v>81</v>
      </c>
      <c r="G15" s="241">
        <v>57</v>
      </c>
      <c r="H15" s="241">
        <v>86</v>
      </c>
      <c r="I15" s="241">
        <v>80</v>
      </c>
      <c r="J15" s="241">
        <v>0.06</v>
      </c>
      <c r="K15" s="241">
        <v>0.41</v>
      </c>
      <c r="L15" s="241">
        <v>0.45</v>
      </c>
      <c r="M15" s="241">
        <v>0.23</v>
      </c>
      <c r="N15" s="241">
        <v>0.13</v>
      </c>
      <c r="O15" s="241"/>
      <c r="P15" s="241"/>
      <c r="Q15" s="241"/>
      <c r="R15" s="241"/>
    </row>
    <row r="16" spans="1:18" x14ac:dyDescent="0.2">
      <c r="A16" s="240" t="s">
        <v>372</v>
      </c>
      <c r="B16" s="241">
        <v>23</v>
      </c>
      <c r="C16" s="241">
        <v>7.6</v>
      </c>
      <c r="D16" s="241">
        <v>30</v>
      </c>
      <c r="E16" s="241">
        <f t="shared" si="0"/>
        <v>70</v>
      </c>
      <c r="F16" s="241">
        <v>85</v>
      </c>
      <c r="G16" s="241">
        <v>61</v>
      </c>
      <c r="H16" s="241">
        <v>91</v>
      </c>
      <c r="I16" s="241">
        <v>82</v>
      </c>
      <c r="J16" s="241">
        <v>0.05</v>
      </c>
      <c r="K16" s="241">
        <v>0.24</v>
      </c>
      <c r="L16" s="241">
        <v>2.2599999999999998</v>
      </c>
      <c r="M16" s="241">
        <v>0.09</v>
      </c>
      <c r="N16" s="241">
        <v>0.14000000000000001</v>
      </c>
    </row>
    <row r="17" spans="1:14" x14ac:dyDescent="0.2">
      <c r="A17" s="240" t="s">
        <v>371</v>
      </c>
      <c r="B17" s="241">
        <v>88</v>
      </c>
      <c r="C17" s="241">
        <v>13.8</v>
      </c>
      <c r="D17" s="241">
        <v>30</v>
      </c>
      <c r="E17" s="241">
        <f t="shared" si="0"/>
        <v>70</v>
      </c>
      <c r="F17" s="241">
        <v>88</v>
      </c>
      <c r="G17" s="241">
        <v>64</v>
      </c>
      <c r="H17" s="241">
        <v>93</v>
      </c>
      <c r="I17" s="241">
        <v>84</v>
      </c>
      <c r="J17" s="241">
        <v>7.0000000000000007E-2</v>
      </c>
      <c r="K17" s="241">
        <v>0.36</v>
      </c>
      <c r="L17" s="241">
        <v>0.52</v>
      </c>
      <c r="M17" s="241">
        <v>0.17</v>
      </c>
      <c r="N17" s="241">
        <v>0.13</v>
      </c>
    </row>
    <row r="18" spans="1:14" x14ac:dyDescent="0.2">
      <c r="A18" s="240" t="s">
        <v>370</v>
      </c>
      <c r="B18" s="241">
        <v>88</v>
      </c>
      <c r="C18" s="241">
        <v>10</v>
      </c>
      <c r="D18" s="241">
        <v>60</v>
      </c>
      <c r="E18" s="241">
        <f t="shared" si="0"/>
        <v>40</v>
      </c>
      <c r="F18" s="241">
        <v>84</v>
      </c>
      <c r="G18" s="241">
        <v>64</v>
      </c>
      <c r="H18" s="241">
        <v>93</v>
      </c>
      <c r="I18" s="241">
        <v>84</v>
      </c>
      <c r="J18" s="241">
        <v>0.03</v>
      </c>
      <c r="K18" s="241">
        <v>0.33</v>
      </c>
      <c r="L18" s="241">
        <v>0.39</v>
      </c>
      <c r="M18" s="241">
        <v>0.09</v>
      </c>
      <c r="N18" s="241">
        <v>0.15</v>
      </c>
    </row>
    <row r="19" spans="1:14" x14ac:dyDescent="0.2">
      <c r="A19" s="240" t="s">
        <v>369</v>
      </c>
      <c r="B19" s="241">
        <v>78</v>
      </c>
      <c r="C19" s="241">
        <v>10</v>
      </c>
      <c r="D19" s="241">
        <v>45</v>
      </c>
      <c r="E19" s="241">
        <f t="shared" si="0"/>
        <v>55</v>
      </c>
      <c r="F19" s="241">
        <v>84</v>
      </c>
      <c r="G19" s="241">
        <v>70</v>
      </c>
      <c r="H19" s="241">
        <v>102</v>
      </c>
      <c r="I19" s="241">
        <v>90</v>
      </c>
      <c r="J19" s="241">
        <v>0.03</v>
      </c>
      <c r="K19" s="241">
        <v>0.33</v>
      </c>
      <c r="L19" s="241">
        <v>0.39</v>
      </c>
      <c r="M19" s="241">
        <v>0.09</v>
      </c>
      <c r="N19" s="241">
        <v>0.15</v>
      </c>
    </row>
    <row r="20" spans="1:14" x14ac:dyDescent="0.2">
      <c r="A20" s="240" t="s">
        <v>368</v>
      </c>
      <c r="B20" s="241">
        <v>75</v>
      </c>
      <c r="C20" s="241">
        <v>10</v>
      </c>
      <c r="D20" s="241">
        <v>40</v>
      </c>
      <c r="E20" s="241">
        <f t="shared" si="0"/>
        <v>60</v>
      </c>
      <c r="F20" s="241">
        <v>84</v>
      </c>
      <c r="G20" s="241">
        <v>70</v>
      </c>
      <c r="H20" s="241">
        <v>102</v>
      </c>
      <c r="I20" s="241">
        <v>90</v>
      </c>
      <c r="J20" s="241">
        <v>0.03</v>
      </c>
      <c r="K20" s="241">
        <v>0.33</v>
      </c>
      <c r="L20" s="241">
        <v>0.39</v>
      </c>
      <c r="M20" s="241">
        <v>0.09</v>
      </c>
      <c r="N20" s="241">
        <v>0.15</v>
      </c>
    </row>
    <row r="21" spans="1:14" x14ac:dyDescent="0.2">
      <c r="A21" s="240" t="s">
        <v>367</v>
      </c>
      <c r="B21" s="241">
        <v>89</v>
      </c>
      <c r="C21" s="241">
        <v>13.5</v>
      </c>
      <c r="D21" s="241">
        <v>30</v>
      </c>
      <c r="E21" s="241">
        <f t="shared" si="0"/>
        <v>70</v>
      </c>
      <c r="F21" s="241">
        <v>83</v>
      </c>
      <c r="G21" s="241">
        <v>53</v>
      </c>
      <c r="H21" s="241">
        <v>81</v>
      </c>
      <c r="I21" s="241">
        <v>75</v>
      </c>
      <c r="J21" s="241">
        <v>0.1</v>
      </c>
      <c r="K21" s="241">
        <v>0.4</v>
      </c>
      <c r="L21" s="241">
        <v>0.52</v>
      </c>
      <c r="M21" s="241">
        <v>0.13</v>
      </c>
      <c r="N21" s="241">
        <v>0.17</v>
      </c>
    </row>
    <row r="22" spans="1:14" x14ac:dyDescent="0.2">
      <c r="A22" s="240" t="s">
        <v>366</v>
      </c>
      <c r="B22" s="241">
        <v>89</v>
      </c>
      <c r="C22" s="241">
        <v>16.5</v>
      </c>
      <c r="D22" s="241">
        <v>20</v>
      </c>
      <c r="E22" s="241">
        <f t="shared" si="0"/>
        <v>80</v>
      </c>
      <c r="F22" s="241">
        <v>88</v>
      </c>
      <c r="G22" s="241">
        <v>64</v>
      </c>
      <c r="H22" s="241">
        <v>93</v>
      </c>
      <c r="I22" s="241">
        <v>84</v>
      </c>
      <c r="J22" s="241">
        <v>0.05</v>
      </c>
      <c r="K22" s="241">
        <v>0.33</v>
      </c>
      <c r="L22" s="241">
        <v>0.42</v>
      </c>
      <c r="M22" s="241">
        <v>0.17</v>
      </c>
      <c r="N22" s="241">
        <v>0.09</v>
      </c>
    </row>
    <row r="23" spans="1:14" x14ac:dyDescent="0.2">
      <c r="A23" s="240" t="s">
        <v>365</v>
      </c>
      <c r="B23" s="241">
        <v>89</v>
      </c>
      <c r="C23" s="241">
        <v>15.7</v>
      </c>
      <c r="D23" s="241">
        <v>30</v>
      </c>
      <c r="E23" s="241">
        <f t="shared" si="0"/>
        <v>70</v>
      </c>
      <c r="F23" s="241">
        <v>88</v>
      </c>
      <c r="G23" s="241">
        <v>65</v>
      </c>
      <c r="H23" s="241">
        <v>95</v>
      </c>
      <c r="I23" s="241">
        <v>85</v>
      </c>
      <c r="J23" s="241">
        <v>0.11</v>
      </c>
      <c r="K23" s="241">
        <v>0.41</v>
      </c>
      <c r="L23" s="241">
        <v>0.51</v>
      </c>
      <c r="M23" s="241">
        <v>0.17</v>
      </c>
      <c r="N23" s="241">
        <v>0.17</v>
      </c>
    </row>
    <row r="24" spans="1:14" x14ac:dyDescent="0.2">
      <c r="A24" s="240" t="s">
        <v>364</v>
      </c>
      <c r="B24" s="241">
        <v>89</v>
      </c>
      <c r="C24" s="241">
        <v>12.5</v>
      </c>
      <c r="D24" s="241">
        <v>20</v>
      </c>
      <c r="E24" s="241">
        <f t="shared" si="0"/>
        <v>80</v>
      </c>
      <c r="F24" s="241">
        <v>93</v>
      </c>
      <c r="G24" s="241">
        <v>68</v>
      </c>
      <c r="H24" s="241">
        <v>99</v>
      </c>
      <c r="I24" s="241">
        <v>88</v>
      </c>
      <c r="J24" s="241">
        <v>0.06</v>
      </c>
      <c r="K24" s="241">
        <v>0.41</v>
      </c>
      <c r="L24" s="241">
        <v>0.49</v>
      </c>
      <c r="M24" s="241">
        <v>0.17</v>
      </c>
      <c r="N24" s="241">
        <v>0.13</v>
      </c>
    </row>
    <row r="25" spans="1:14" x14ac:dyDescent="0.2">
      <c r="A25" s="240" t="s">
        <v>363</v>
      </c>
      <c r="B25" s="241">
        <v>88</v>
      </c>
      <c r="C25" s="241">
        <v>12.3</v>
      </c>
      <c r="D25" s="241">
        <v>20</v>
      </c>
      <c r="E25" s="241">
        <f t="shared" si="0"/>
        <v>80</v>
      </c>
      <c r="F25" s="241">
        <v>94</v>
      </c>
      <c r="G25" s="241">
        <v>69</v>
      </c>
      <c r="H25" s="241">
        <v>100</v>
      </c>
      <c r="I25" s="241">
        <v>89</v>
      </c>
      <c r="J25" s="241">
        <v>0.05</v>
      </c>
      <c r="K25" s="241">
        <v>0.43</v>
      </c>
      <c r="L25" s="241">
        <v>0.44</v>
      </c>
      <c r="M25" s="241">
        <v>0.13</v>
      </c>
      <c r="N25" s="241">
        <v>0.11</v>
      </c>
    </row>
    <row r="26" spans="1:14" x14ac:dyDescent="0.2">
      <c r="A26" s="240" t="s">
        <v>362</v>
      </c>
      <c r="B26" s="241">
        <v>82</v>
      </c>
      <c r="C26" s="241">
        <v>12.5</v>
      </c>
      <c r="D26" s="241">
        <v>20</v>
      </c>
      <c r="E26" s="241">
        <f t="shared" si="0"/>
        <v>80</v>
      </c>
      <c r="F26" s="241">
        <v>94</v>
      </c>
      <c r="G26" s="241">
        <v>70</v>
      </c>
      <c r="H26" s="241">
        <v>102</v>
      </c>
      <c r="I26" s="241">
        <v>90</v>
      </c>
      <c r="J26" s="241">
        <v>0.06</v>
      </c>
      <c r="K26" s="241">
        <v>0.41</v>
      </c>
      <c r="L26" s="241">
        <v>0.49</v>
      </c>
      <c r="M26" s="241">
        <v>0.17</v>
      </c>
      <c r="N26" s="241">
        <v>0.13</v>
      </c>
    </row>
    <row r="27" spans="1:14" ht="15" x14ac:dyDescent="0.2">
      <c r="A27" s="242" t="s">
        <v>361</v>
      </c>
    </row>
    <row r="28" spans="1:14" x14ac:dyDescent="0.2">
      <c r="A28" s="240" t="s">
        <v>360</v>
      </c>
      <c r="B28" s="241">
        <v>90</v>
      </c>
      <c r="C28" s="241">
        <v>2.1</v>
      </c>
      <c r="D28" s="241">
        <v>30</v>
      </c>
      <c r="E28" s="241">
        <f t="shared" ref="E28:E48" si="1">100-D28</f>
        <v>70</v>
      </c>
      <c r="F28" s="241">
        <v>60</v>
      </c>
      <c r="G28" s="241">
        <v>26</v>
      </c>
      <c r="H28" s="241">
        <v>67</v>
      </c>
      <c r="I28" s="241">
        <v>55</v>
      </c>
      <c r="J28" s="241">
        <v>0.23</v>
      </c>
      <c r="K28" s="241">
        <v>0.11</v>
      </c>
      <c r="L28" s="241">
        <v>0.53</v>
      </c>
      <c r="M28" s="241">
        <v>0.11</v>
      </c>
      <c r="N28" s="241">
        <v>0</v>
      </c>
    </row>
    <row r="29" spans="1:14" x14ac:dyDescent="0.2">
      <c r="A29" s="240" t="s">
        <v>359</v>
      </c>
      <c r="B29" s="241">
        <v>100</v>
      </c>
      <c r="C29" s="241">
        <v>0</v>
      </c>
      <c r="D29" s="241">
        <v>0</v>
      </c>
      <c r="E29" s="241">
        <f t="shared" si="1"/>
        <v>100</v>
      </c>
      <c r="F29" s="241">
        <v>265</v>
      </c>
      <c r="G29" s="241">
        <v>159</v>
      </c>
      <c r="H29" s="241">
        <v>216</v>
      </c>
      <c r="I29" s="241">
        <v>177</v>
      </c>
      <c r="J29" s="241">
        <v>0</v>
      </c>
      <c r="K29" s="241">
        <v>0</v>
      </c>
      <c r="L29" s="241">
        <v>0</v>
      </c>
      <c r="M29" s="241">
        <v>0</v>
      </c>
      <c r="N29" s="241">
        <v>0</v>
      </c>
    </row>
    <row r="30" spans="1:14" x14ac:dyDescent="0.2">
      <c r="A30" s="240" t="s">
        <v>358</v>
      </c>
      <c r="B30" s="241">
        <v>91</v>
      </c>
      <c r="C30" s="241">
        <v>10</v>
      </c>
      <c r="D30" s="241">
        <v>30</v>
      </c>
      <c r="E30" s="241">
        <f t="shared" si="1"/>
        <v>70</v>
      </c>
      <c r="F30" s="241">
        <v>81</v>
      </c>
      <c r="G30" s="241">
        <v>52</v>
      </c>
      <c r="H30" s="241">
        <v>80</v>
      </c>
      <c r="I30" s="241">
        <v>74</v>
      </c>
      <c r="J30" s="241">
        <v>0.69</v>
      </c>
      <c r="K30" s="241">
        <v>0.11</v>
      </c>
      <c r="L30" s="241">
        <v>0.2</v>
      </c>
      <c r="M30" s="241">
        <v>0.22</v>
      </c>
      <c r="N30" s="241">
        <v>0.27</v>
      </c>
    </row>
    <row r="31" spans="1:14" x14ac:dyDescent="0.2">
      <c r="A31" s="240" t="s">
        <v>357</v>
      </c>
      <c r="B31" s="241">
        <v>20</v>
      </c>
      <c r="C31" s="241">
        <v>10</v>
      </c>
      <c r="D31" s="241">
        <v>30</v>
      </c>
      <c r="E31" s="241">
        <f t="shared" si="1"/>
        <v>70</v>
      </c>
      <c r="F31" s="241">
        <v>81</v>
      </c>
      <c r="G31" s="241">
        <v>52</v>
      </c>
      <c r="H31" s="241">
        <v>80</v>
      </c>
      <c r="I31" s="241">
        <v>74</v>
      </c>
      <c r="J31" s="241">
        <v>0.75</v>
      </c>
      <c r="K31" s="241">
        <v>0.11</v>
      </c>
      <c r="L31" s="241">
        <v>0.19</v>
      </c>
      <c r="M31" s="241">
        <v>0.22</v>
      </c>
      <c r="N31" s="241">
        <v>0.22</v>
      </c>
    </row>
    <row r="32" spans="1:14" x14ac:dyDescent="0.2">
      <c r="A32" s="240" t="s">
        <v>356</v>
      </c>
      <c r="B32" s="241">
        <v>92</v>
      </c>
      <c r="C32" s="241">
        <v>9.9</v>
      </c>
      <c r="D32" s="241">
        <v>30</v>
      </c>
      <c r="E32" s="241">
        <f t="shared" si="1"/>
        <v>70</v>
      </c>
      <c r="F32" s="241">
        <v>81</v>
      </c>
      <c r="G32" s="241">
        <v>54</v>
      </c>
      <c r="H32" s="241">
        <v>83</v>
      </c>
      <c r="I32" s="241">
        <v>76</v>
      </c>
      <c r="J32" s="241">
        <v>0.61</v>
      </c>
      <c r="K32" s="241">
        <v>0.11</v>
      </c>
      <c r="L32" s="241">
        <v>1.87</v>
      </c>
      <c r="M32" s="241">
        <v>0.42</v>
      </c>
      <c r="N32" s="241">
        <v>0.14000000000000001</v>
      </c>
    </row>
    <row r="33" spans="1:14" x14ac:dyDescent="0.2">
      <c r="A33" s="240" t="s">
        <v>355</v>
      </c>
      <c r="B33" s="241">
        <v>88</v>
      </c>
      <c r="C33" s="241">
        <v>9</v>
      </c>
      <c r="D33" s="241">
        <v>60</v>
      </c>
      <c r="E33" s="241">
        <f t="shared" si="1"/>
        <v>40</v>
      </c>
      <c r="F33" s="241">
        <v>90</v>
      </c>
      <c r="G33" s="241">
        <v>62</v>
      </c>
      <c r="H33" s="241">
        <v>92</v>
      </c>
      <c r="I33" s="241">
        <v>83</v>
      </c>
      <c r="J33" s="241">
        <v>0.04</v>
      </c>
      <c r="K33" s="241">
        <v>0.41</v>
      </c>
      <c r="L33" s="241">
        <v>0.3</v>
      </c>
      <c r="M33" s="241">
        <v>0.1</v>
      </c>
      <c r="N33" s="241">
        <v>0.2</v>
      </c>
    </row>
    <row r="34" spans="1:14" x14ac:dyDescent="0.2">
      <c r="A34" s="240" t="s">
        <v>354</v>
      </c>
      <c r="B34" s="241">
        <v>91</v>
      </c>
      <c r="C34" s="241">
        <v>11.1</v>
      </c>
      <c r="D34" s="241">
        <v>50</v>
      </c>
      <c r="E34" s="241">
        <f t="shared" si="1"/>
        <v>50</v>
      </c>
      <c r="F34" s="241">
        <v>97</v>
      </c>
      <c r="G34" s="241">
        <v>67</v>
      </c>
      <c r="H34" s="241">
        <v>97</v>
      </c>
      <c r="I34" s="241">
        <v>87</v>
      </c>
      <c r="J34" s="241">
        <v>0.02</v>
      </c>
      <c r="K34" s="241">
        <v>0.35</v>
      </c>
      <c r="L34" s="241">
        <v>0.37</v>
      </c>
      <c r="M34" s="241">
        <v>0.09</v>
      </c>
      <c r="N34" s="241">
        <v>0.09</v>
      </c>
    </row>
    <row r="35" spans="1:14" x14ac:dyDescent="0.2">
      <c r="A35" s="240" t="s">
        <v>353</v>
      </c>
      <c r="B35" s="241">
        <v>50</v>
      </c>
      <c r="C35" s="241">
        <v>8</v>
      </c>
      <c r="D35" s="241">
        <v>0</v>
      </c>
      <c r="E35" s="241">
        <f t="shared" si="1"/>
        <v>100</v>
      </c>
      <c r="F35" s="241">
        <v>32</v>
      </c>
      <c r="G35" s="241">
        <v>22</v>
      </c>
      <c r="H35" s="241">
        <v>32</v>
      </c>
      <c r="I35" s="241">
        <v>32</v>
      </c>
      <c r="J35" s="241">
        <v>0</v>
      </c>
      <c r="K35" s="241">
        <v>0</v>
      </c>
      <c r="L35" s="241">
        <v>0</v>
      </c>
      <c r="M35" s="241">
        <v>0</v>
      </c>
      <c r="N35" s="241">
        <v>0</v>
      </c>
    </row>
    <row r="36" spans="1:14" x14ac:dyDescent="0.2">
      <c r="A36" s="240" t="s">
        <v>352</v>
      </c>
      <c r="B36" s="241">
        <v>77</v>
      </c>
      <c r="C36" s="241">
        <v>8.6999999999999993</v>
      </c>
      <c r="D36" s="241">
        <v>0</v>
      </c>
      <c r="E36" s="241">
        <f t="shared" si="1"/>
        <v>100</v>
      </c>
      <c r="F36" s="241">
        <v>78</v>
      </c>
      <c r="G36" s="241">
        <v>58</v>
      </c>
      <c r="H36" s="241">
        <v>87</v>
      </c>
      <c r="I36" s="241">
        <v>90</v>
      </c>
      <c r="J36" s="241">
        <v>0.17</v>
      </c>
      <c r="K36" s="241">
        <v>0.03</v>
      </c>
      <c r="L36" s="241">
        <v>6.2</v>
      </c>
      <c r="M36" s="241">
        <v>0.6</v>
      </c>
      <c r="N36" s="241">
        <v>0.3</v>
      </c>
    </row>
    <row r="37" spans="1:14" x14ac:dyDescent="0.2">
      <c r="A37" s="240" t="s">
        <v>351</v>
      </c>
      <c r="B37" s="241">
        <v>75</v>
      </c>
      <c r="C37" s="241">
        <v>5.8</v>
      </c>
      <c r="D37" s="241">
        <v>0</v>
      </c>
      <c r="E37" s="241">
        <f t="shared" si="1"/>
        <v>100</v>
      </c>
      <c r="F37" s="241">
        <v>75</v>
      </c>
      <c r="G37" s="241">
        <v>49</v>
      </c>
      <c r="H37" s="241">
        <v>77</v>
      </c>
      <c r="I37" s="241">
        <v>90</v>
      </c>
      <c r="J37" s="241">
        <v>1</v>
      </c>
      <c r="K37" s="241">
        <v>1</v>
      </c>
      <c r="L37" s="241">
        <v>3.84</v>
      </c>
      <c r="M37" s="241">
        <v>0.46</v>
      </c>
      <c r="N37" s="241">
        <v>0.47</v>
      </c>
    </row>
    <row r="38" spans="1:14" x14ac:dyDescent="0.2">
      <c r="A38" s="240" t="s">
        <v>350</v>
      </c>
      <c r="B38" s="241">
        <v>78</v>
      </c>
      <c r="C38" s="241">
        <v>0.4</v>
      </c>
      <c r="D38" s="241">
        <v>0</v>
      </c>
      <c r="E38" s="241">
        <f t="shared" si="1"/>
        <v>100</v>
      </c>
      <c r="F38" s="241">
        <v>83</v>
      </c>
      <c r="G38" s="241">
        <v>63</v>
      </c>
      <c r="H38" s="241">
        <v>93</v>
      </c>
      <c r="I38" s="241">
        <v>90</v>
      </c>
      <c r="J38" s="241">
        <v>0.59</v>
      </c>
      <c r="K38" s="241">
        <v>0.06</v>
      </c>
      <c r="L38" s="241">
        <v>0.2</v>
      </c>
      <c r="M38" s="241">
        <v>0</v>
      </c>
      <c r="N38" s="241">
        <v>0</v>
      </c>
    </row>
    <row r="39" spans="1:14" x14ac:dyDescent="0.2">
      <c r="A39" s="240" t="s">
        <v>349</v>
      </c>
      <c r="B39" s="241">
        <v>91</v>
      </c>
      <c r="C39" s="241">
        <v>14.8</v>
      </c>
      <c r="D39" s="241">
        <v>30</v>
      </c>
      <c r="E39" s="241">
        <f t="shared" si="1"/>
        <v>70</v>
      </c>
      <c r="F39" s="241">
        <v>73</v>
      </c>
      <c r="G39" s="241">
        <v>47</v>
      </c>
      <c r="H39" s="241">
        <v>75</v>
      </c>
      <c r="I39" s="241">
        <v>70</v>
      </c>
      <c r="J39" s="241">
        <v>7.0000000000000007E-2</v>
      </c>
      <c r="K39" s="241">
        <v>1.7</v>
      </c>
      <c r="L39" s="241">
        <v>1.91</v>
      </c>
      <c r="M39" s="241">
        <v>0.2</v>
      </c>
      <c r="N39" s="241">
        <v>1.04</v>
      </c>
    </row>
    <row r="40" spans="1:14" x14ac:dyDescent="0.2">
      <c r="A40" s="240" t="s">
        <v>348</v>
      </c>
      <c r="B40" s="241">
        <v>88</v>
      </c>
      <c r="C40" s="241">
        <v>9</v>
      </c>
      <c r="D40" s="241">
        <v>60</v>
      </c>
      <c r="E40" s="241">
        <f t="shared" si="1"/>
        <v>40</v>
      </c>
      <c r="F40" s="241">
        <v>80</v>
      </c>
      <c r="G40" s="241">
        <v>53</v>
      </c>
      <c r="H40" s="241">
        <v>81</v>
      </c>
      <c r="I40" s="241">
        <v>78</v>
      </c>
      <c r="J40" s="241">
        <v>0.03</v>
      </c>
      <c r="K40" s="241">
        <v>0.31</v>
      </c>
      <c r="L40" s="241">
        <v>0.35</v>
      </c>
      <c r="M40" s="241">
        <v>0.12</v>
      </c>
      <c r="N40" s="241">
        <v>0.2</v>
      </c>
    </row>
    <row r="41" spans="1:14" x14ac:dyDescent="0.2">
      <c r="A41" s="240" t="s">
        <v>347</v>
      </c>
      <c r="B41" s="241">
        <v>91</v>
      </c>
      <c r="C41" s="241">
        <v>12</v>
      </c>
      <c r="D41" s="241">
        <v>30</v>
      </c>
      <c r="E41" s="241">
        <f t="shared" si="1"/>
        <v>70</v>
      </c>
      <c r="F41" s="241">
        <v>80</v>
      </c>
      <c r="G41" s="241">
        <v>54</v>
      </c>
      <c r="H41" s="241">
        <v>81</v>
      </c>
      <c r="I41" s="241">
        <v>78</v>
      </c>
      <c r="J41" s="241">
        <v>0.45</v>
      </c>
      <c r="K41" s="241">
        <v>0.17</v>
      </c>
      <c r="L41" s="241">
        <v>1.27</v>
      </c>
      <c r="M41" s="241">
        <v>0.09</v>
      </c>
      <c r="N41" s="241">
        <v>0.3</v>
      </c>
    </row>
    <row r="42" spans="1:14" x14ac:dyDescent="0.2">
      <c r="A42" s="240" t="s">
        <v>346</v>
      </c>
      <c r="B42" s="241">
        <v>89</v>
      </c>
      <c r="C42" s="241">
        <v>17.100000000000001</v>
      </c>
      <c r="D42" s="241">
        <v>20</v>
      </c>
      <c r="E42" s="241">
        <f t="shared" si="1"/>
        <v>80</v>
      </c>
      <c r="F42" s="241">
        <v>73</v>
      </c>
      <c r="G42" s="241">
        <v>47</v>
      </c>
      <c r="H42" s="241">
        <v>74</v>
      </c>
      <c r="I42" s="241">
        <v>70</v>
      </c>
      <c r="J42" s="241">
        <v>0.12</v>
      </c>
      <c r="K42" s="241">
        <v>1.32</v>
      </c>
      <c r="L42" s="241">
        <v>1.39</v>
      </c>
      <c r="M42" s="241">
        <v>0.25</v>
      </c>
      <c r="N42" s="241">
        <v>0.62</v>
      </c>
    </row>
    <row r="43" spans="1:14" x14ac:dyDescent="0.2">
      <c r="A43" s="240" t="s">
        <v>345</v>
      </c>
      <c r="B43" s="241">
        <v>90</v>
      </c>
      <c r="C43" s="241">
        <v>18.7</v>
      </c>
      <c r="D43" s="241">
        <v>20</v>
      </c>
      <c r="E43" s="241">
        <f t="shared" si="1"/>
        <v>80</v>
      </c>
      <c r="F43" s="241">
        <v>71</v>
      </c>
      <c r="G43" s="241">
        <v>61</v>
      </c>
      <c r="H43" s="241">
        <v>90</v>
      </c>
      <c r="I43" s="241">
        <v>85</v>
      </c>
      <c r="J43" s="241">
        <v>0.12</v>
      </c>
      <c r="K43" s="241">
        <v>1.01</v>
      </c>
      <c r="L43" s="241">
        <v>1.01</v>
      </c>
      <c r="M43" s="241">
        <v>0.18</v>
      </c>
      <c r="N43" s="241">
        <v>0.41</v>
      </c>
    </row>
    <row r="44" spans="1:14" x14ac:dyDescent="0.2">
      <c r="A44" s="240" t="s">
        <v>344</v>
      </c>
      <c r="B44" s="241">
        <v>89</v>
      </c>
      <c r="C44" s="241">
        <v>12</v>
      </c>
      <c r="D44" s="241">
        <v>20</v>
      </c>
      <c r="E44" s="241">
        <f t="shared" si="1"/>
        <v>80</v>
      </c>
      <c r="F44" s="241">
        <v>80</v>
      </c>
      <c r="G44" s="241">
        <v>45</v>
      </c>
      <c r="H44" s="241">
        <v>73</v>
      </c>
      <c r="I44" s="241">
        <v>71</v>
      </c>
      <c r="J44" s="241">
        <v>0.09</v>
      </c>
      <c r="K44" s="241">
        <v>0.4</v>
      </c>
      <c r="L44" s="241">
        <v>0.57999999999999996</v>
      </c>
      <c r="M44" s="241">
        <v>0.1</v>
      </c>
      <c r="N44" s="241">
        <v>0.11</v>
      </c>
    </row>
    <row r="45" spans="1:14" x14ac:dyDescent="0.2">
      <c r="A45" s="240" t="s">
        <v>343</v>
      </c>
      <c r="B45" s="241">
        <v>90</v>
      </c>
      <c r="C45" s="241">
        <v>18.600000000000001</v>
      </c>
      <c r="D45" s="241">
        <v>20</v>
      </c>
      <c r="E45" s="241">
        <f t="shared" si="1"/>
        <v>80</v>
      </c>
      <c r="F45" s="241">
        <v>76</v>
      </c>
      <c r="G45" s="241">
        <v>59</v>
      </c>
      <c r="H45" s="241">
        <v>87</v>
      </c>
      <c r="I45" s="241">
        <v>84</v>
      </c>
      <c r="J45" s="241">
        <v>0.1</v>
      </c>
      <c r="K45" s="241">
        <v>0.84</v>
      </c>
      <c r="L45" s="241">
        <v>1.06</v>
      </c>
      <c r="M45" s="241">
        <v>0.22</v>
      </c>
      <c r="N45" s="241">
        <v>0.28999999999999998</v>
      </c>
    </row>
    <row r="46" spans="1:14" x14ac:dyDescent="0.2">
      <c r="A46" s="240" t="s">
        <v>342</v>
      </c>
      <c r="B46" s="241">
        <v>40</v>
      </c>
      <c r="C46" s="241">
        <v>13</v>
      </c>
      <c r="D46" s="241">
        <v>0</v>
      </c>
      <c r="E46" s="241">
        <f t="shared" si="1"/>
        <v>100</v>
      </c>
      <c r="F46" s="241">
        <v>85</v>
      </c>
      <c r="G46" s="241">
        <v>59</v>
      </c>
      <c r="H46" s="241">
        <v>88</v>
      </c>
      <c r="I46" s="241">
        <v>82</v>
      </c>
      <c r="J46" s="241">
        <v>0.6</v>
      </c>
      <c r="K46" s="241">
        <v>0.91</v>
      </c>
      <c r="L46" s="241">
        <v>1.6</v>
      </c>
      <c r="M46" s="241">
        <v>1.1200000000000001</v>
      </c>
      <c r="N46" s="241">
        <v>0.14000000000000001</v>
      </c>
    </row>
    <row r="47" spans="1:14" x14ac:dyDescent="0.2">
      <c r="A47" s="240" t="s">
        <v>341</v>
      </c>
      <c r="B47" s="241">
        <v>90</v>
      </c>
      <c r="C47" s="241">
        <v>17.899999999999999</v>
      </c>
      <c r="D47" s="241">
        <v>0</v>
      </c>
      <c r="E47" s="241">
        <f t="shared" si="1"/>
        <v>100</v>
      </c>
      <c r="F47" s="241">
        <v>87</v>
      </c>
      <c r="G47" s="241">
        <v>57</v>
      </c>
      <c r="H47" s="241">
        <v>87</v>
      </c>
      <c r="I47" s="241">
        <v>79</v>
      </c>
      <c r="J47" s="241">
        <v>1.71</v>
      </c>
      <c r="K47" s="241">
        <v>1.1200000000000001</v>
      </c>
      <c r="L47" s="241">
        <v>3.16</v>
      </c>
      <c r="M47" s="241">
        <v>1.1200000000000001</v>
      </c>
      <c r="N47" s="241">
        <v>0.23</v>
      </c>
    </row>
    <row r="48" spans="1:14" x14ac:dyDescent="0.2">
      <c r="A48" s="240" t="s">
        <v>340</v>
      </c>
      <c r="B48" s="241">
        <v>100</v>
      </c>
      <c r="C48" s="241">
        <v>0</v>
      </c>
      <c r="D48" s="241">
        <v>0</v>
      </c>
      <c r="E48" s="241">
        <f t="shared" si="1"/>
        <v>100</v>
      </c>
      <c r="F48" s="241">
        <v>0</v>
      </c>
      <c r="G48" s="241">
        <v>0</v>
      </c>
      <c r="H48" s="241">
        <v>0</v>
      </c>
      <c r="I48" s="241">
        <v>0</v>
      </c>
      <c r="J48" s="241">
        <v>0</v>
      </c>
      <c r="K48" s="241">
        <v>0</v>
      </c>
      <c r="L48" s="241">
        <v>0</v>
      </c>
      <c r="M48" s="241">
        <v>0</v>
      </c>
      <c r="N48" s="241">
        <v>0</v>
      </c>
    </row>
    <row r="49" spans="1:14" ht="15" x14ac:dyDescent="0.2">
      <c r="A49" s="242" t="s">
        <v>339</v>
      </c>
    </row>
    <row r="50" spans="1:14" x14ac:dyDescent="0.2">
      <c r="A50" s="240" t="s">
        <v>338</v>
      </c>
      <c r="B50" s="241">
        <v>90</v>
      </c>
      <c r="C50" s="241">
        <v>25.4</v>
      </c>
      <c r="D50" s="241">
        <v>20</v>
      </c>
      <c r="E50" s="241">
        <f t="shared" ref="E50:E94" si="2">100-D50</f>
        <v>80</v>
      </c>
      <c r="F50" s="241">
        <v>84</v>
      </c>
      <c r="G50" s="241">
        <v>64</v>
      </c>
      <c r="H50" s="241">
        <v>93</v>
      </c>
      <c r="I50" s="241">
        <v>84</v>
      </c>
      <c r="J50" s="241">
        <v>0.15</v>
      </c>
      <c r="K50" s="241">
        <v>0.59</v>
      </c>
      <c r="L50" s="241">
        <v>1.4</v>
      </c>
      <c r="M50" s="241">
        <v>0.26</v>
      </c>
      <c r="N50" s="241">
        <v>0.15</v>
      </c>
    </row>
    <row r="51" spans="1:14" x14ac:dyDescent="0.2">
      <c r="A51" s="240" t="s">
        <v>337</v>
      </c>
      <c r="B51" s="241">
        <v>90</v>
      </c>
      <c r="C51" s="241">
        <v>89.8</v>
      </c>
      <c r="D51" s="241">
        <v>60</v>
      </c>
      <c r="E51" s="241">
        <f t="shared" si="2"/>
        <v>40</v>
      </c>
      <c r="F51" s="241">
        <v>68</v>
      </c>
      <c r="G51" s="241">
        <v>41</v>
      </c>
      <c r="H51" s="241">
        <v>68</v>
      </c>
      <c r="I51" s="241">
        <v>85</v>
      </c>
      <c r="J51" s="241">
        <v>0.33</v>
      </c>
      <c r="K51" s="241">
        <v>0.26</v>
      </c>
      <c r="L51" s="241">
        <v>0.1</v>
      </c>
      <c r="M51" s="241">
        <v>0.37</v>
      </c>
      <c r="N51" s="241">
        <v>0.24</v>
      </c>
    </row>
    <row r="52" spans="1:14" x14ac:dyDescent="0.2">
      <c r="A52" s="240" t="s">
        <v>336</v>
      </c>
      <c r="B52" s="241">
        <v>90</v>
      </c>
      <c r="C52" s="241">
        <v>89.8</v>
      </c>
      <c r="D52" s="241">
        <v>75</v>
      </c>
      <c r="E52" s="241">
        <f t="shared" si="2"/>
        <v>25</v>
      </c>
      <c r="F52" s="241">
        <v>65</v>
      </c>
      <c r="G52" s="241">
        <v>40</v>
      </c>
      <c r="H52" s="241">
        <v>67</v>
      </c>
      <c r="I52" s="241">
        <v>90</v>
      </c>
      <c r="J52" s="241">
        <v>0.33</v>
      </c>
      <c r="K52" s="241">
        <v>0.26</v>
      </c>
      <c r="L52" s="241">
        <v>0.1</v>
      </c>
      <c r="M52" s="241">
        <v>0.37</v>
      </c>
      <c r="N52" s="241">
        <v>0.24</v>
      </c>
    </row>
    <row r="53" spans="1:14" x14ac:dyDescent="0.2">
      <c r="A53" s="240" t="s">
        <v>335</v>
      </c>
      <c r="B53" s="241">
        <v>92</v>
      </c>
      <c r="C53" s="241">
        <v>29</v>
      </c>
      <c r="D53" s="241">
        <v>60</v>
      </c>
      <c r="E53" s="241">
        <f t="shared" si="2"/>
        <v>40</v>
      </c>
      <c r="F53" s="241">
        <v>68</v>
      </c>
      <c r="G53" s="241">
        <v>41</v>
      </c>
      <c r="H53" s="241">
        <v>68</v>
      </c>
      <c r="I53" s="241">
        <v>80</v>
      </c>
      <c r="J53" s="241">
        <v>0.28999999999999998</v>
      </c>
      <c r="K53" s="241">
        <v>0.54</v>
      </c>
      <c r="L53" s="241">
        <v>0.1</v>
      </c>
      <c r="M53" s="241">
        <v>0.34</v>
      </c>
      <c r="N53" s="241">
        <v>0.15</v>
      </c>
    </row>
    <row r="54" spans="1:14" x14ac:dyDescent="0.2">
      <c r="A54" s="240" t="s">
        <v>334</v>
      </c>
      <c r="B54" s="241">
        <v>24</v>
      </c>
      <c r="C54" s="241">
        <v>29</v>
      </c>
      <c r="D54" s="241">
        <v>40</v>
      </c>
      <c r="E54" s="241">
        <f t="shared" si="2"/>
        <v>60</v>
      </c>
      <c r="F54" s="241">
        <v>68</v>
      </c>
      <c r="G54" s="241">
        <v>41</v>
      </c>
      <c r="H54" s="241">
        <v>68</v>
      </c>
      <c r="I54" s="241">
        <v>80</v>
      </c>
      <c r="J54" s="241">
        <v>0.28999999999999998</v>
      </c>
      <c r="K54" s="241">
        <v>0.54</v>
      </c>
      <c r="L54" s="241">
        <v>0.1</v>
      </c>
      <c r="M54" s="241">
        <v>0.34</v>
      </c>
      <c r="N54" s="241">
        <v>0.15</v>
      </c>
    </row>
    <row r="55" spans="1:14" x14ac:dyDescent="0.2">
      <c r="A55" s="240" t="s">
        <v>333</v>
      </c>
      <c r="B55" s="241">
        <v>93</v>
      </c>
      <c r="C55" s="241">
        <v>34.200000000000003</v>
      </c>
      <c r="D55" s="241">
        <v>0</v>
      </c>
      <c r="E55" s="241">
        <f t="shared" si="2"/>
        <v>100</v>
      </c>
      <c r="F55" s="241">
        <v>90</v>
      </c>
      <c r="G55" s="241">
        <v>69</v>
      </c>
      <c r="H55" s="241">
        <v>100</v>
      </c>
      <c r="I55" s="241">
        <v>89</v>
      </c>
      <c r="J55" s="241">
        <v>1.44</v>
      </c>
      <c r="K55" s="241">
        <v>1.01</v>
      </c>
      <c r="L55" s="241">
        <v>0.9</v>
      </c>
      <c r="M55" s="241">
        <v>0.09</v>
      </c>
      <c r="N55" s="241">
        <v>0.52</v>
      </c>
    </row>
    <row r="56" spans="1:14" x14ac:dyDescent="0.2">
      <c r="A56" s="240" t="s">
        <v>332</v>
      </c>
      <c r="B56" s="241">
        <v>90</v>
      </c>
      <c r="C56" s="241">
        <v>43.6</v>
      </c>
      <c r="D56" s="241">
        <v>25</v>
      </c>
      <c r="E56" s="241">
        <f t="shared" si="2"/>
        <v>75</v>
      </c>
      <c r="F56" s="241">
        <v>77</v>
      </c>
      <c r="G56" s="241">
        <v>45</v>
      </c>
      <c r="H56" s="241">
        <v>73</v>
      </c>
      <c r="I56" s="241">
        <v>69</v>
      </c>
      <c r="J56" s="241">
        <v>0.67</v>
      </c>
      <c r="K56" s="241">
        <v>1</v>
      </c>
      <c r="L56" s="241">
        <v>1.4</v>
      </c>
      <c r="M56" s="241">
        <v>0.28000000000000003</v>
      </c>
      <c r="N56" s="241">
        <v>0.6</v>
      </c>
    </row>
    <row r="57" spans="1:14" x14ac:dyDescent="0.2">
      <c r="A57" s="240" t="s">
        <v>331</v>
      </c>
      <c r="B57" s="241">
        <v>90</v>
      </c>
      <c r="C57" s="241">
        <v>91</v>
      </c>
      <c r="D57" s="241">
        <v>0</v>
      </c>
      <c r="E57" s="241">
        <f t="shared" si="2"/>
        <v>100</v>
      </c>
      <c r="F57" s="241">
        <v>94</v>
      </c>
      <c r="G57" s="241">
        <v>100</v>
      </c>
      <c r="H57" s="241">
        <v>140</v>
      </c>
      <c r="I57" s="241">
        <v>89</v>
      </c>
      <c r="J57" s="241">
        <v>0.67</v>
      </c>
      <c r="K57" s="241">
        <v>0.9</v>
      </c>
      <c r="L57" s="241">
        <v>0.01</v>
      </c>
      <c r="M57" s="241">
        <v>0</v>
      </c>
      <c r="N57" s="241">
        <v>0.01</v>
      </c>
    </row>
    <row r="58" spans="1:14" x14ac:dyDescent="0.2">
      <c r="A58" s="240" t="s">
        <v>330</v>
      </c>
      <c r="B58" s="241">
        <v>88</v>
      </c>
      <c r="C58" s="241">
        <v>21.5</v>
      </c>
      <c r="D58" s="241">
        <v>25</v>
      </c>
      <c r="E58" s="241">
        <f t="shared" si="2"/>
        <v>75</v>
      </c>
      <c r="F58" s="241">
        <v>87</v>
      </c>
      <c r="G58" s="241">
        <v>60</v>
      </c>
      <c r="H58" s="241">
        <v>94</v>
      </c>
      <c r="I58" s="241">
        <v>77</v>
      </c>
      <c r="J58" s="241">
        <v>0.1</v>
      </c>
      <c r="K58" s="241">
        <v>0.83</v>
      </c>
      <c r="L58" s="241">
        <v>1.5</v>
      </c>
      <c r="M58" s="241">
        <v>0.4</v>
      </c>
      <c r="N58" s="241">
        <v>0.51</v>
      </c>
    </row>
    <row r="59" spans="1:14" x14ac:dyDescent="0.2">
      <c r="A59" s="240" t="s">
        <v>329</v>
      </c>
      <c r="B59" s="241">
        <v>60</v>
      </c>
      <c r="C59" s="241">
        <v>20</v>
      </c>
      <c r="D59" s="241">
        <v>25</v>
      </c>
      <c r="E59" s="241">
        <f t="shared" si="2"/>
        <v>75</v>
      </c>
      <c r="F59" s="241">
        <v>87</v>
      </c>
      <c r="G59" s="241">
        <v>67</v>
      </c>
      <c r="H59" s="241">
        <v>98</v>
      </c>
      <c r="I59" s="241">
        <v>94</v>
      </c>
      <c r="J59" s="241">
        <v>0.15</v>
      </c>
      <c r="K59" s="241">
        <v>0.95</v>
      </c>
      <c r="L59" s="241">
        <v>1.1000000000000001</v>
      </c>
      <c r="M59" s="241">
        <v>0.8</v>
      </c>
      <c r="N59" s="241">
        <v>0.43</v>
      </c>
    </row>
    <row r="60" spans="1:14" x14ac:dyDescent="0.2">
      <c r="A60" s="240" t="s">
        <v>328</v>
      </c>
      <c r="B60" s="241">
        <v>43</v>
      </c>
      <c r="C60" s="241">
        <v>16</v>
      </c>
      <c r="D60" s="241">
        <v>25</v>
      </c>
      <c r="E60" s="241">
        <f t="shared" si="2"/>
        <v>75</v>
      </c>
      <c r="F60" s="241">
        <v>87</v>
      </c>
      <c r="G60" s="241">
        <v>67</v>
      </c>
      <c r="H60" s="241">
        <v>98</v>
      </c>
      <c r="I60" s="241">
        <v>90</v>
      </c>
      <c r="J60" s="241" t="s">
        <v>327</v>
      </c>
      <c r="K60" s="241">
        <v>0.7</v>
      </c>
      <c r="L60" s="241">
        <v>1</v>
      </c>
      <c r="M60" s="241">
        <v>0.5</v>
      </c>
      <c r="N60" s="241">
        <v>0.27</v>
      </c>
    </row>
    <row r="61" spans="1:14" x14ac:dyDescent="0.2">
      <c r="A61" s="240" t="s">
        <v>326</v>
      </c>
      <c r="B61" s="241">
        <v>91</v>
      </c>
      <c r="C61" s="241">
        <v>65.900000000000006</v>
      </c>
      <c r="D61" s="241">
        <v>60</v>
      </c>
      <c r="E61" s="241">
        <f t="shared" si="2"/>
        <v>40</v>
      </c>
      <c r="F61" s="241">
        <v>88</v>
      </c>
      <c r="G61" s="241">
        <v>69</v>
      </c>
      <c r="H61" s="241">
        <v>100</v>
      </c>
      <c r="I61" s="241">
        <v>89</v>
      </c>
      <c r="J61" s="241">
        <v>0.08</v>
      </c>
      <c r="K61" s="241">
        <v>0.51</v>
      </c>
      <c r="L61" s="241">
        <v>0.21</v>
      </c>
      <c r="M61" s="241">
        <v>0.72</v>
      </c>
      <c r="N61" s="241">
        <v>0.09</v>
      </c>
    </row>
    <row r="62" spans="1:14" x14ac:dyDescent="0.2">
      <c r="A62" s="240" t="s">
        <v>325</v>
      </c>
      <c r="B62" s="241">
        <v>54</v>
      </c>
      <c r="C62" s="241">
        <v>36</v>
      </c>
      <c r="D62" s="241">
        <v>28</v>
      </c>
      <c r="E62" s="241">
        <f t="shared" si="2"/>
        <v>72</v>
      </c>
      <c r="F62" s="241">
        <v>89</v>
      </c>
      <c r="G62" s="241">
        <v>70</v>
      </c>
      <c r="H62" s="241">
        <v>102</v>
      </c>
      <c r="I62" s="241">
        <v>95</v>
      </c>
      <c r="J62" s="241">
        <v>0.06</v>
      </c>
      <c r="K62" s="241">
        <v>1.1000000000000001</v>
      </c>
      <c r="L62" s="241">
        <v>4.5</v>
      </c>
      <c r="M62" s="241">
        <v>0.57999999999999996</v>
      </c>
      <c r="N62" s="241">
        <v>1.5</v>
      </c>
    </row>
    <row r="63" spans="1:14" x14ac:dyDescent="0.2">
      <c r="A63" s="240" t="s">
        <v>324</v>
      </c>
      <c r="B63" s="241">
        <v>92</v>
      </c>
      <c r="C63" s="241">
        <v>23</v>
      </c>
      <c r="D63" s="241">
        <v>35</v>
      </c>
      <c r="E63" s="241">
        <f t="shared" si="2"/>
        <v>65</v>
      </c>
      <c r="F63" s="241">
        <v>101</v>
      </c>
      <c r="G63" s="241">
        <v>77</v>
      </c>
      <c r="H63" s="241">
        <v>110</v>
      </c>
      <c r="I63" s="241">
        <v>96</v>
      </c>
      <c r="J63" s="241">
        <v>0.21</v>
      </c>
      <c r="K63" s="241">
        <v>0.64</v>
      </c>
      <c r="L63" s="241">
        <v>1</v>
      </c>
      <c r="M63" s="241">
        <v>0.26</v>
      </c>
      <c r="N63" s="241">
        <v>0.46</v>
      </c>
    </row>
    <row r="64" spans="1:14" x14ac:dyDescent="0.2">
      <c r="A64" s="240" t="s">
        <v>323</v>
      </c>
      <c r="B64" s="241">
        <v>94</v>
      </c>
      <c r="C64" s="241">
        <v>45.4</v>
      </c>
      <c r="D64" s="241">
        <v>40</v>
      </c>
      <c r="E64" s="241">
        <f t="shared" si="2"/>
        <v>60</v>
      </c>
      <c r="F64" s="241">
        <v>80</v>
      </c>
      <c r="G64" s="241">
        <v>56</v>
      </c>
      <c r="H64" s="241">
        <v>85</v>
      </c>
      <c r="I64" s="241">
        <v>78</v>
      </c>
      <c r="J64" s="241">
        <v>0.21</v>
      </c>
      <c r="K64" s="241">
        <v>1.1599999999999999</v>
      </c>
      <c r="L64" s="241">
        <v>1.45</v>
      </c>
      <c r="M64" s="241">
        <v>0.43</v>
      </c>
      <c r="N64" s="241">
        <v>0.57999999999999996</v>
      </c>
    </row>
    <row r="65" spans="1:14" x14ac:dyDescent="0.2">
      <c r="A65" s="240" t="s">
        <v>322</v>
      </c>
      <c r="B65" s="241">
        <v>91</v>
      </c>
      <c r="C65" s="241">
        <v>45.8</v>
      </c>
      <c r="D65" s="241">
        <v>30</v>
      </c>
      <c r="E65" s="241">
        <f t="shared" si="2"/>
        <v>70</v>
      </c>
      <c r="F65" s="241">
        <v>78</v>
      </c>
      <c r="G65" s="241">
        <v>54</v>
      </c>
      <c r="H65" s="241">
        <v>83</v>
      </c>
      <c r="I65" s="241">
        <v>76</v>
      </c>
      <c r="J65" s="241">
        <v>0.17</v>
      </c>
      <c r="K65" s="241">
        <v>1.21</v>
      </c>
      <c r="L65" s="241">
        <v>1.52</v>
      </c>
      <c r="M65" s="241">
        <v>0.28000000000000003</v>
      </c>
      <c r="N65" s="241">
        <v>0.59</v>
      </c>
    </row>
    <row r="66" spans="1:14" x14ac:dyDescent="0.2">
      <c r="A66" s="240" t="s">
        <v>321</v>
      </c>
      <c r="B66" s="241">
        <v>92</v>
      </c>
      <c r="C66" s="241">
        <v>34</v>
      </c>
      <c r="D66" s="241">
        <v>20</v>
      </c>
      <c r="E66" s="241">
        <f t="shared" si="2"/>
        <v>80</v>
      </c>
      <c r="F66" s="241">
        <v>71</v>
      </c>
      <c r="G66" s="241">
        <v>44</v>
      </c>
      <c r="H66" s="241">
        <v>73</v>
      </c>
      <c r="I66" s="241">
        <v>70</v>
      </c>
      <c r="J66" s="241">
        <v>0.86</v>
      </c>
      <c r="K66" s="241">
        <v>0.75</v>
      </c>
      <c r="L66" s="241">
        <v>0.77</v>
      </c>
      <c r="M66" s="241">
        <v>1.0900000000000001</v>
      </c>
      <c r="N66" s="241">
        <v>0.34</v>
      </c>
    </row>
    <row r="67" spans="1:14" x14ac:dyDescent="0.2">
      <c r="A67" s="240" t="s">
        <v>320</v>
      </c>
      <c r="B67" s="241">
        <v>92</v>
      </c>
      <c r="C67" s="241">
        <v>29.5</v>
      </c>
      <c r="D67" s="241">
        <v>60</v>
      </c>
      <c r="E67" s="241">
        <f t="shared" si="2"/>
        <v>40</v>
      </c>
      <c r="F67" s="241">
        <v>90</v>
      </c>
      <c r="G67" s="241">
        <v>84</v>
      </c>
      <c r="H67" s="241">
        <v>122</v>
      </c>
      <c r="I67" s="241">
        <v>102</v>
      </c>
      <c r="J67" s="241">
        <v>0.1</v>
      </c>
      <c r="K67" s="241">
        <v>0.4</v>
      </c>
      <c r="L67" s="241">
        <v>0.18</v>
      </c>
      <c r="M67" s="241">
        <v>0.46</v>
      </c>
      <c r="N67" s="241">
        <v>7.0000000000000007E-2</v>
      </c>
    </row>
    <row r="68" spans="1:14" x14ac:dyDescent="0.2">
      <c r="A68" s="240" t="s">
        <v>319</v>
      </c>
      <c r="B68" s="241">
        <v>30</v>
      </c>
      <c r="C68" s="241">
        <v>29.5</v>
      </c>
      <c r="D68" s="241">
        <v>60</v>
      </c>
      <c r="E68" s="241">
        <f t="shared" si="2"/>
        <v>40</v>
      </c>
      <c r="F68" s="241">
        <v>90</v>
      </c>
      <c r="G68" s="241">
        <v>98</v>
      </c>
      <c r="H68" s="241">
        <v>143</v>
      </c>
      <c r="I68" s="241">
        <v>112</v>
      </c>
      <c r="J68" s="241">
        <v>0.1</v>
      </c>
      <c r="K68" s="241">
        <v>0.4</v>
      </c>
      <c r="L68" s="241">
        <v>0.18</v>
      </c>
      <c r="M68" s="241">
        <v>0.46</v>
      </c>
      <c r="N68" s="241">
        <v>7.0000000000000007E-2</v>
      </c>
    </row>
    <row r="69" spans="1:14" x14ac:dyDescent="0.2">
      <c r="A69" s="240" t="s">
        <v>318</v>
      </c>
      <c r="B69" s="241">
        <v>93</v>
      </c>
      <c r="C69" s="241">
        <v>29.5</v>
      </c>
      <c r="D69" s="241">
        <v>50</v>
      </c>
      <c r="E69" s="241">
        <f t="shared" si="2"/>
        <v>50</v>
      </c>
      <c r="F69" s="241">
        <v>93</v>
      </c>
      <c r="G69" s="241">
        <v>84</v>
      </c>
      <c r="H69" s="241">
        <v>122</v>
      </c>
      <c r="I69" s="241">
        <v>102</v>
      </c>
      <c r="J69" s="241">
        <v>0.1</v>
      </c>
      <c r="K69" s="241">
        <v>0.71</v>
      </c>
      <c r="L69" s="241">
        <v>0.44</v>
      </c>
      <c r="M69" s="241">
        <v>0.33</v>
      </c>
      <c r="N69" s="241">
        <v>0.18</v>
      </c>
    </row>
    <row r="70" spans="1:14" x14ac:dyDescent="0.2">
      <c r="A70" s="240" t="s">
        <v>317</v>
      </c>
      <c r="B70" s="241">
        <v>44</v>
      </c>
      <c r="C70" s="241">
        <v>31.5</v>
      </c>
      <c r="D70" s="241">
        <v>30</v>
      </c>
      <c r="E70" s="241">
        <f t="shared" si="2"/>
        <v>70</v>
      </c>
      <c r="F70" s="241">
        <v>93</v>
      </c>
      <c r="G70" s="241">
        <v>98</v>
      </c>
      <c r="H70" s="241">
        <v>143</v>
      </c>
      <c r="I70" s="241">
        <v>102</v>
      </c>
      <c r="J70" s="241">
        <v>0.1</v>
      </c>
      <c r="K70" s="241">
        <v>0.71</v>
      </c>
      <c r="L70" s="241">
        <v>0.44</v>
      </c>
      <c r="M70" s="241">
        <v>0.4</v>
      </c>
      <c r="N70" s="241">
        <v>0.18</v>
      </c>
    </row>
    <row r="71" spans="1:14" x14ac:dyDescent="0.2">
      <c r="A71" s="240" t="s">
        <v>316</v>
      </c>
      <c r="B71" s="241">
        <v>93</v>
      </c>
      <c r="C71" s="241">
        <v>33.200000000000003</v>
      </c>
      <c r="D71" s="241">
        <v>60</v>
      </c>
      <c r="E71" s="241">
        <f t="shared" si="2"/>
        <v>40</v>
      </c>
      <c r="F71" s="241">
        <v>87</v>
      </c>
      <c r="G71" s="241">
        <v>56</v>
      </c>
      <c r="H71" s="241">
        <v>82</v>
      </c>
      <c r="I71" s="241">
        <v>98</v>
      </c>
      <c r="J71" s="241">
        <v>0.16</v>
      </c>
      <c r="K71" s="241">
        <v>0.42</v>
      </c>
      <c r="L71" s="241">
        <v>0.23</v>
      </c>
      <c r="M71" s="241">
        <v>0.46</v>
      </c>
      <c r="N71" s="241">
        <v>0.08</v>
      </c>
    </row>
    <row r="72" spans="1:14" x14ac:dyDescent="0.2">
      <c r="A72" s="240" t="s">
        <v>315</v>
      </c>
      <c r="B72" s="241">
        <v>30</v>
      </c>
      <c r="C72" s="241">
        <v>33.200000000000003</v>
      </c>
      <c r="D72" s="241">
        <v>60</v>
      </c>
      <c r="E72" s="241">
        <f t="shared" si="2"/>
        <v>40</v>
      </c>
      <c r="F72" s="241">
        <v>87</v>
      </c>
      <c r="G72" s="241">
        <v>67</v>
      </c>
      <c r="H72" s="241">
        <v>98</v>
      </c>
      <c r="I72" s="241">
        <v>110</v>
      </c>
      <c r="J72" s="241">
        <v>0.16</v>
      </c>
      <c r="K72" s="241">
        <v>0.42</v>
      </c>
      <c r="L72" s="241">
        <v>0.23</v>
      </c>
      <c r="M72" s="241">
        <v>0.46</v>
      </c>
      <c r="N72" s="241">
        <v>0.08</v>
      </c>
    </row>
    <row r="73" spans="1:14" x14ac:dyDescent="0.2">
      <c r="A73" s="240" t="s">
        <v>314</v>
      </c>
      <c r="B73" s="241">
        <v>93</v>
      </c>
      <c r="C73" s="241">
        <v>33.200000000000003</v>
      </c>
      <c r="D73" s="241">
        <v>50</v>
      </c>
      <c r="E73" s="241">
        <f t="shared" si="2"/>
        <v>50</v>
      </c>
      <c r="F73" s="241">
        <v>87</v>
      </c>
      <c r="G73" s="241">
        <v>56</v>
      </c>
      <c r="H73" s="241">
        <v>2</v>
      </c>
      <c r="I73" s="241">
        <v>98</v>
      </c>
      <c r="J73" s="241">
        <v>0.16</v>
      </c>
      <c r="K73" s="241">
        <v>0.76</v>
      </c>
      <c r="L73" s="241">
        <v>0.55000000000000004</v>
      </c>
      <c r="M73" s="241">
        <v>0.33</v>
      </c>
      <c r="N73" s="241">
        <v>0.2</v>
      </c>
    </row>
    <row r="74" spans="1:14" x14ac:dyDescent="0.2">
      <c r="A74" s="240" t="s">
        <v>313</v>
      </c>
      <c r="B74" s="241">
        <v>42</v>
      </c>
      <c r="C74" s="241">
        <v>33.200000000000003</v>
      </c>
      <c r="D74" s="241">
        <v>30</v>
      </c>
      <c r="E74" s="241">
        <f t="shared" si="2"/>
        <v>70</v>
      </c>
      <c r="F74" s="241">
        <v>87</v>
      </c>
      <c r="G74" s="241">
        <v>79</v>
      </c>
      <c r="H74" s="241">
        <v>115</v>
      </c>
      <c r="I74" s="241">
        <v>98</v>
      </c>
      <c r="J74" s="241">
        <v>0.16</v>
      </c>
      <c r="K74" s="241">
        <v>0.76</v>
      </c>
      <c r="L74" s="241">
        <v>0.55000000000000004</v>
      </c>
      <c r="M74" s="241">
        <v>0.4</v>
      </c>
      <c r="N74" s="241">
        <v>0.2</v>
      </c>
    </row>
    <row r="75" spans="1:14" x14ac:dyDescent="0.2">
      <c r="A75" s="240" t="s">
        <v>312</v>
      </c>
      <c r="B75" s="241">
        <v>91</v>
      </c>
      <c r="C75" s="241">
        <v>91.3</v>
      </c>
      <c r="D75" s="241">
        <v>70</v>
      </c>
      <c r="E75" s="241">
        <f t="shared" si="2"/>
        <v>30</v>
      </c>
      <c r="F75" s="241">
        <v>73</v>
      </c>
      <c r="G75" s="241">
        <v>47</v>
      </c>
      <c r="H75" s="241">
        <v>74</v>
      </c>
      <c r="I75" s="241">
        <v>90</v>
      </c>
      <c r="J75" s="241">
        <v>0.28000000000000003</v>
      </c>
      <c r="K75" s="241">
        <v>0.75</v>
      </c>
      <c r="L75" s="241">
        <v>0.3</v>
      </c>
      <c r="M75" s="241">
        <v>1.61</v>
      </c>
      <c r="N75" s="241">
        <v>0.22</v>
      </c>
    </row>
    <row r="76" spans="1:14" x14ac:dyDescent="0.2">
      <c r="A76" s="240" t="s">
        <v>311</v>
      </c>
      <c r="B76" s="241">
        <v>90</v>
      </c>
      <c r="C76" s="241">
        <v>66.599999999999994</v>
      </c>
      <c r="D76" s="241">
        <v>60</v>
      </c>
      <c r="E76" s="241">
        <f t="shared" si="2"/>
        <v>40</v>
      </c>
      <c r="F76" s="241">
        <v>76</v>
      </c>
      <c r="G76" s="241">
        <v>45</v>
      </c>
      <c r="H76" s="241">
        <v>74</v>
      </c>
      <c r="I76" s="241">
        <v>90</v>
      </c>
      <c r="J76" s="241">
        <v>5.9</v>
      </c>
      <c r="K76" s="241">
        <v>3.3</v>
      </c>
      <c r="L76" s="241">
        <v>0.7</v>
      </c>
      <c r="M76" s="241">
        <v>0.49</v>
      </c>
      <c r="N76" s="241">
        <v>0.16</v>
      </c>
    </row>
    <row r="77" spans="1:14" x14ac:dyDescent="0.2">
      <c r="A77" s="240" t="s">
        <v>310</v>
      </c>
      <c r="B77" s="241">
        <v>91</v>
      </c>
      <c r="C77" s="241">
        <v>38.6</v>
      </c>
      <c r="D77" s="241">
        <v>48</v>
      </c>
      <c r="E77" s="241">
        <f t="shared" si="2"/>
        <v>52</v>
      </c>
      <c r="F77" s="241">
        <v>81</v>
      </c>
      <c r="G77" s="241">
        <v>56</v>
      </c>
      <c r="H77" s="241">
        <v>85</v>
      </c>
      <c r="I77" s="241">
        <v>78</v>
      </c>
      <c r="J77" s="241">
        <v>0.43</v>
      </c>
      <c r="K77" s="241">
        <v>0.91</v>
      </c>
      <c r="L77" s="241">
        <v>1.52</v>
      </c>
      <c r="M77" s="241">
        <v>0.15</v>
      </c>
      <c r="N77" s="241">
        <v>0.66</v>
      </c>
    </row>
    <row r="78" spans="1:14" x14ac:dyDescent="0.2">
      <c r="A78" s="240" t="s">
        <v>309</v>
      </c>
      <c r="B78" s="241">
        <v>94</v>
      </c>
      <c r="C78" s="241">
        <v>57.1</v>
      </c>
      <c r="D78" s="241">
        <v>50</v>
      </c>
      <c r="E78" s="241">
        <f t="shared" si="2"/>
        <v>50</v>
      </c>
      <c r="F78" s="241">
        <v>74</v>
      </c>
      <c r="G78" s="241">
        <v>48</v>
      </c>
      <c r="H78" s="241">
        <v>75</v>
      </c>
      <c r="I78" s="241">
        <v>90</v>
      </c>
      <c r="J78" s="241">
        <v>8.49</v>
      </c>
      <c r="K78" s="241">
        <v>4.3099999999999996</v>
      </c>
      <c r="L78" s="241">
        <v>0.59</v>
      </c>
      <c r="M78" s="241">
        <v>0.53</v>
      </c>
      <c r="N78" s="241">
        <v>0.28999999999999998</v>
      </c>
    </row>
    <row r="79" spans="1:14" x14ac:dyDescent="0.2">
      <c r="A79" s="240" t="s">
        <v>308</v>
      </c>
      <c r="B79" s="241">
        <v>94</v>
      </c>
      <c r="C79" s="241">
        <v>53.8</v>
      </c>
      <c r="D79" s="241">
        <v>55</v>
      </c>
      <c r="E79" s="241">
        <f t="shared" si="2"/>
        <v>45</v>
      </c>
      <c r="F79" s="241">
        <v>74</v>
      </c>
      <c r="G79" s="241">
        <v>48</v>
      </c>
      <c r="H79" s="241">
        <v>75</v>
      </c>
      <c r="I79" s="241">
        <v>90</v>
      </c>
      <c r="J79" s="241">
        <v>10.3</v>
      </c>
      <c r="K79" s="241">
        <v>5.39</v>
      </c>
      <c r="L79" s="241">
        <v>1.55</v>
      </c>
      <c r="M79" s="241">
        <v>0.28000000000000003</v>
      </c>
      <c r="N79" s="241">
        <v>1.2</v>
      </c>
    </row>
    <row r="80" spans="1:14" x14ac:dyDescent="0.2">
      <c r="A80" s="240" t="s">
        <v>307</v>
      </c>
      <c r="B80" s="241">
        <v>91</v>
      </c>
      <c r="C80" s="241">
        <v>52.3</v>
      </c>
      <c r="D80" s="241">
        <v>28</v>
      </c>
      <c r="E80" s="241">
        <f t="shared" si="2"/>
        <v>72</v>
      </c>
      <c r="F80" s="241">
        <v>80</v>
      </c>
      <c r="G80" s="241">
        <v>55</v>
      </c>
      <c r="H80" s="241">
        <v>84</v>
      </c>
      <c r="I80" s="241">
        <v>77</v>
      </c>
      <c r="J80" s="241">
        <v>0.28999999999999998</v>
      </c>
      <c r="K80" s="241">
        <v>0.68</v>
      </c>
      <c r="L80" s="241">
        <v>1.23</v>
      </c>
      <c r="M80" s="241">
        <v>0.33</v>
      </c>
      <c r="N80" s="241">
        <v>0.17</v>
      </c>
    </row>
    <row r="81" spans="1:14" x14ac:dyDescent="0.2">
      <c r="A81" s="240" t="s">
        <v>306</v>
      </c>
      <c r="B81" s="241">
        <v>85</v>
      </c>
      <c r="C81" s="241">
        <v>28.2</v>
      </c>
      <c r="D81" s="241">
        <v>15</v>
      </c>
      <c r="E81" s="241">
        <f t="shared" si="2"/>
        <v>85</v>
      </c>
      <c r="F81" s="241">
        <v>54</v>
      </c>
      <c r="G81" s="241">
        <v>22</v>
      </c>
      <c r="H81" s="241">
        <v>47</v>
      </c>
      <c r="I81" s="241">
        <v>52</v>
      </c>
      <c r="J81" s="241">
        <v>9.31</v>
      </c>
      <c r="K81" s="241">
        <v>2.52</v>
      </c>
      <c r="L81" s="241">
        <v>2.25</v>
      </c>
      <c r="M81" s="241">
        <v>0.18</v>
      </c>
      <c r="N81" s="241">
        <v>0.64</v>
      </c>
    </row>
    <row r="82" spans="1:14" x14ac:dyDescent="0.2">
      <c r="A82" s="240" t="s">
        <v>305</v>
      </c>
      <c r="B82" s="241">
        <v>85</v>
      </c>
      <c r="C82" s="241">
        <v>24.5</v>
      </c>
      <c r="D82" s="241">
        <v>15</v>
      </c>
      <c r="E82" s="241">
        <f t="shared" si="2"/>
        <v>85</v>
      </c>
      <c r="F82" s="241">
        <v>65</v>
      </c>
      <c r="G82" s="241">
        <v>41</v>
      </c>
      <c r="H82" s="241">
        <v>68</v>
      </c>
      <c r="I82" s="241">
        <v>66</v>
      </c>
      <c r="J82" s="241">
        <v>3.16</v>
      </c>
      <c r="K82" s="241">
        <v>1.8</v>
      </c>
      <c r="L82" s="241">
        <v>1.68</v>
      </c>
      <c r="M82" s="241">
        <v>1.26</v>
      </c>
      <c r="N82" s="241">
        <v>0.5</v>
      </c>
    </row>
    <row r="83" spans="1:14" x14ac:dyDescent="0.2">
      <c r="A83" s="240" t="s">
        <v>304</v>
      </c>
      <c r="B83" s="241">
        <v>92</v>
      </c>
      <c r="C83" s="241">
        <v>22.8</v>
      </c>
      <c r="D83" s="241">
        <v>20</v>
      </c>
      <c r="E83" s="241">
        <f t="shared" si="2"/>
        <v>80</v>
      </c>
      <c r="F83" s="241">
        <v>61</v>
      </c>
      <c r="G83" s="241">
        <v>34</v>
      </c>
      <c r="H83" s="241">
        <v>60</v>
      </c>
      <c r="I83" s="241">
        <v>60</v>
      </c>
      <c r="J83" s="241">
        <v>0.28000000000000003</v>
      </c>
      <c r="K83" s="241">
        <v>0.78</v>
      </c>
      <c r="L83" s="241">
        <v>0.79</v>
      </c>
      <c r="M83" s="241">
        <v>0.06</v>
      </c>
      <c r="N83" s="241">
        <v>0.36</v>
      </c>
    </row>
    <row r="84" spans="1:14" x14ac:dyDescent="0.2">
      <c r="A84" s="240" t="s">
        <v>303</v>
      </c>
      <c r="B84" s="241">
        <v>92</v>
      </c>
      <c r="C84" s="241">
        <v>23.9</v>
      </c>
      <c r="D84" s="241">
        <v>20</v>
      </c>
      <c r="E84" s="241">
        <f t="shared" si="2"/>
        <v>80</v>
      </c>
      <c r="F84" s="241">
        <v>58</v>
      </c>
      <c r="G84" s="241">
        <v>29</v>
      </c>
      <c r="H84" s="241">
        <v>55</v>
      </c>
      <c r="I84" s="241">
        <v>57</v>
      </c>
      <c r="J84" s="241">
        <v>0.37</v>
      </c>
      <c r="K84" s="241">
        <v>0.8</v>
      </c>
      <c r="L84" s="241">
        <v>0.8</v>
      </c>
      <c r="M84" s="241">
        <v>0.06</v>
      </c>
      <c r="N84" s="241">
        <v>0.37</v>
      </c>
    </row>
    <row r="85" spans="1:14" x14ac:dyDescent="0.2">
      <c r="A85" s="240" t="s">
        <v>302</v>
      </c>
      <c r="B85" s="241">
        <v>90</v>
      </c>
      <c r="C85" s="241">
        <v>46.7</v>
      </c>
      <c r="D85" s="241">
        <v>50</v>
      </c>
      <c r="E85" s="241">
        <f t="shared" si="2"/>
        <v>50</v>
      </c>
      <c r="F85" s="241">
        <v>91</v>
      </c>
      <c r="G85" s="241">
        <v>65</v>
      </c>
      <c r="H85" s="241">
        <v>95</v>
      </c>
      <c r="I85" s="241">
        <v>95</v>
      </c>
      <c r="J85" s="241">
        <v>0.28999999999999998</v>
      </c>
      <c r="K85" s="241">
        <v>0.68</v>
      </c>
      <c r="L85" s="241">
        <v>1.98</v>
      </c>
      <c r="M85" s="241">
        <v>0.37</v>
      </c>
      <c r="N85" s="241">
        <v>0.28000000000000003</v>
      </c>
    </row>
    <row r="86" spans="1:14" x14ac:dyDescent="0.2">
      <c r="A86" s="240" t="s">
        <v>301</v>
      </c>
      <c r="B86" s="241">
        <v>89</v>
      </c>
      <c r="C86" s="241">
        <v>49</v>
      </c>
      <c r="D86" s="241">
        <v>30</v>
      </c>
      <c r="E86" s="241">
        <f t="shared" si="2"/>
        <v>70</v>
      </c>
      <c r="F86" s="241">
        <v>88</v>
      </c>
      <c r="G86" s="241">
        <v>64</v>
      </c>
      <c r="H86" s="241">
        <v>94</v>
      </c>
      <c r="I86" s="241">
        <v>90</v>
      </c>
      <c r="J86" s="241">
        <v>0.33</v>
      </c>
      <c r="K86" s="241">
        <v>0.71</v>
      </c>
      <c r="L86" s="241">
        <v>2.14</v>
      </c>
      <c r="M86" s="241">
        <v>0.49</v>
      </c>
      <c r="N86" s="241">
        <v>0.3</v>
      </c>
    </row>
    <row r="87" spans="1:14" x14ac:dyDescent="0.2">
      <c r="A87" s="240" t="s">
        <v>300</v>
      </c>
      <c r="B87" s="241">
        <v>90</v>
      </c>
      <c r="C87" s="241">
        <v>41.7</v>
      </c>
      <c r="D87" s="241">
        <v>20</v>
      </c>
      <c r="E87" s="241">
        <f t="shared" si="2"/>
        <v>80</v>
      </c>
      <c r="F87" s="241">
        <v>96</v>
      </c>
      <c r="G87" s="241">
        <v>71</v>
      </c>
      <c r="H87" s="241">
        <v>103</v>
      </c>
      <c r="I87" s="241">
        <v>100</v>
      </c>
      <c r="J87" s="241">
        <v>0.28000000000000003</v>
      </c>
      <c r="K87" s="241">
        <v>0.66</v>
      </c>
      <c r="L87" s="241">
        <v>1.77</v>
      </c>
      <c r="M87" s="241">
        <v>0.24</v>
      </c>
      <c r="N87" s="241">
        <v>0.31</v>
      </c>
    </row>
    <row r="88" spans="1:14" x14ac:dyDescent="0.2">
      <c r="A88" s="240" t="s">
        <v>299</v>
      </c>
      <c r="B88" s="241">
        <v>90</v>
      </c>
      <c r="C88" s="241">
        <v>41.7</v>
      </c>
      <c r="D88" s="241">
        <v>50</v>
      </c>
      <c r="E88" s="241">
        <f t="shared" si="2"/>
        <v>50</v>
      </c>
      <c r="F88" s="241">
        <v>96</v>
      </c>
      <c r="G88" s="241">
        <v>71</v>
      </c>
      <c r="H88" s="241">
        <v>103</v>
      </c>
      <c r="I88" s="241">
        <v>100</v>
      </c>
      <c r="J88" s="241">
        <v>0.28000000000000003</v>
      </c>
      <c r="K88" s="241">
        <v>0.66</v>
      </c>
      <c r="L88" s="241">
        <v>1.77</v>
      </c>
      <c r="M88" s="241">
        <v>0.24</v>
      </c>
      <c r="N88" s="241">
        <v>0.31</v>
      </c>
    </row>
    <row r="89" spans="1:14" x14ac:dyDescent="0.2">
      <c r="A89" s="240" t="s">
        <v>298</v>
      </c>
      <c r="B89" s="241">
        <v>92</v>
      </c>
      <c r="C89" s="241">
        <v>21.8</v>
      </c>
      <c r="D89" s="241">
        <v>20</v>
      </c>
      <c r="E89" s="241">
        <f t="shared" si="2"/>
        <v>80</v>
      </c>
      <c r="F89" s="241">
        <v>60</v>
      </c>
      <c r="G89" s="241">
        <v>45</v>
      </c>
      <c r="H89" s="241">
        <v>68</v>
      </c>
      <c r="I89" s="241">
        <v>58</v>
      </c>
      <c r="J89" s="241">
        <v>0.13</v>
      </c>
      <c r="K89" s="241">
        <v>0.44</v>
      </c>
      <c r="L89" s="241">
        <v>0.5</v>
      </c>
      <c r="M89" s="241">
        <v>0.02</v>
      </c>
      <c r="N89" s="241">
        <v>0.53</v>
      </c>
    </row>
    <row r="90" spans="1:14" x14ac:dyDescent="0.2">
      <c r="A90" s="240" t="s">
        <v>297</v>
      </c>
      <c r="B90" s="241">
        <v>92</v>
      </c>
      <c r="C90" s="241">
        <v>20.2</v>
      </c>
      <c r="D90" s="241">
        <v>20</v>
      </c>
      <c r="E90" s="241">
        <f t="shared" si="2"/>
        <v>80</v>
      </c>
      <c r="F90" s="241">
        <v>84</v>
      </c>
      <c r="G90" s="241">
        <v>63</v>
      </c>
      <c r="H90" s="241">
        <v>93</v>
      </c>
      <c r="I90" s="241">
        <v>82</v>
      </c>
      <c r="J90" s="241">
        <v>0.19</v>
      </c>
      <c r="K90" s="241">
        <v>0.63</v>
      </c>
      <c r="L90" s="241">
        <v>0.71</v>
      </c>
      <c r="M90" s="241">
        <v>0.02</v>
      </c>
      <c r="N90" s="241">
        <v>0.46</v>
      </c>
    </row>
    <row r="91" spans="1:14" x14ac:dyDescent="0.2">
      <c r="A91" s="240" t="s">
        <v>296</v>
      </c>
      <c r="B91" s="241">
        <v>93</v>
      </c>
      <c r="C91" s="241">
        <v>44.1</v>
      </c>
      <c r="D91" s="241">
        <v>20</v>
      </c>
      <c r="E91" s="241">
        <f t="shared" si="2"/>
        <v>80</v>
      </c>
      <c r="F91" s="241">
        <v>77</v>
      </c>
      <c r="G91" s="241">
        <v>52</v>
      </c>
      <c r="H91" s="241">
        <v>80</v>
      </c>
      <c r="I91" s="241">
        <v>74</v>
      </c>
      <c r="J91" s="241">
        <v>0.43</v>
      </c>
      <c r="K91" s="241">
        <v>1.1200000000000001</v>
      </c>
      <c r="L91" s="241">
        <v>1.1599999999999999</v>
      </c>
      <c r="M91" s="241">
        <v>0.3</v>
      </c>
      <c r="N91" s="241">
        <v>0.79</v>
      </c>
    </row>
    <row r="92" spans="1:14" x14ac:dyDescent="0.2">
      <c r="A92" s="240" t="s">
        <v>295</v>
      </c>
      <c r="B92" s="241">
        <v>90</v>
      </c>
      <c r="C92" s="241">
        <v>25.9</v>
      </c>
      <c r="D92" s="241">
        <v>20</v>
      </c>
      <c r="E92" s="241">
        <f t="shared" si="2"/>
        <v>80</v>
      </c>
      <c r="F92" s="241">
        <v>44</v>
      </c>
      <c r="G92" s="241">
        <v>10</v>
      </c>
      <c r="H92" s="241">
        <v>34</v>
      </c>
      <c r="I92" s="241">
        <v>44</v>
      </c>
      <c r="J92" s="241">
        <v>0.23</v>
      </c>
      <c r="K92" s="241">
        <v>1.03</v>
      </c>
      <c r="L92" s="241">
        <v>1.06</v>
      </c>
      <c r="M92" s="241">
        <v>0.33</v>
      </c>
      <c r="N92" s="241">
        <v>0.75</v>
      </c>
    </row>
    <row r="93" spans="1:14" x14ac:dyDescent="0.2">
      <c r="A93" s="240" t="s">
        <v>294</v>
      </c>
      <c r="B93" s="241">
        <v>93</v>
      </c>
      <c r="C93" s="241">
        <v>50.3</v>
      </c>
      <c r="D93" s="241">
        <v>20</v>
      </c>
      <c r="E93" s="241">
        <f t="shared" si="2"/>
        <v>80</v>
      </c>
      <c r="F93" s="241">
        <v>67</v>
      </c>
      <c r="G93" s="241">
        <v>40</v>
      </c>
      <c r="H93" s="241">
        <v>66</v>
      </c>
      <c r="I93" s="241">
        <v>65</v>
      </c>
      <c r="J93" s="241">
        <v>0.44</v>
      </c>
      <c r="K93" s="241">
        <v>0.98</v>
      </c>
      <c r="L93" s="241">
        <v>1.1399999999999999</v>
      </c>
      <c r="M93" s="241">
        <v>0.3</v>
      </c>
      <c r="N93" s="241">
        <v>0.77</v>
      </c>
    </row>
    <row r="94" spans="1:14" x14ac:dyDescent="0.2">
      <c r="A94" s="240" t="s">
        <v>293</v>
      </c>
      <c r="B94" s="241">
        <v>100</v>
      </c>
      <c r="C94" s="241">
        <v>287</v>
      </c>
      <c r="D94" s="241">
        <v>0</v>
      </c>
      <c r="E94" s="241">
        <f t="shared" si="2"/>
        <v>100</v>
      </c>
      <c r="F94" s="241">
        <v>0</v>
      </c>
      <c r="G94" s="241">
        <v>0</v>
      </c>
      <c r="H94" s="241">
        <v>0</v>
      </c>
      <c r="I94" s="241">
        <v>0</v>
      </c>
      <c r="J94" s="241">
        <v>0</v>
      </c>
      <c r="K94" s="241">
        <v>0</v>
      </c>
      <c r="L94" s="241">
        <v>0</v>
      </c>
      <c r="M94" s="241">
        <v>0</v>
      </c>
      <c r="N94" s="241">
        <v>0</v>
      </c>
    </row>
    <row r="95" spans="1:14" ht="15" x14ac:dyDescent="0.2">
      <c r="A95" s="242" t="s">
        <v>292</v>
      </c>
    </row>
    <row r="96" spans="1:14" x14ac:dyDescent="0.2">
      <c r="A96" s="240" t="s">
        <v>291</v>
      </c>
      <c r="B96" s="241">
        <v>93</v>
      </c>
      <c r="C96" s="241">
        <v>16.3</v>
      </c>
      <c r="D96" s="241">
        <v>30</v>
      </c>
      <c r="E96" s="241">
        <f t="shared" ref="E96:E127" si="3">100-D96</f>
        <v>70</v>
      </c>
      <c r="F96" s="241">
        <v>60</v>
      </c>
      <c r="G96" s="241">
        <v>32</v>
      </c>
      <c r="H96" s="241">
        <v>58</v>
      </c>
      <c r="I96" s="241">
        <v>59</v>
      </c>
      <c r="J96" s="241">
        <v>1.32</v>
      </c>
      <c r="K96" s="241">
        <v>0.24</v>
      </c>
      <c r="L96" s="241">
        <v>2.5</v>
      </c>
      <c r="M96" s="241">
        <v>0.18</v>
      </c>
      <c r="N96" s="241">
        <v>0.31</v>
      </c>
    </row>
    <row r="97" spans="1:14" x14ac:dyDescent="0.2">
      <c r="A97" s="240" t="s">
        <v>290</v>
      </c>
      <c r="B97" s="241">
        <v>93</v>
      </c>
      <c r="C97" s="241">
        <v>19.7</v>
      </c>
      <c r="D97" s="241">
        <v>46</v>
      </c>
      <c r="E97" s="241">
        <f t="shared" si="3"/>
        <v>54</v>
      </c>
      <c r="F97" s="241">
        <v>63</v>
      </c>
      <c r="G97" s="241">
        <v>35</v>
      </c>
      <c r="H97" s="241">
        <v>61</v>
      </c>
      <c r="I97" s="241">
        <v>61</v>
      </c>
      <c r="J97" s="241">
        <v>1.43</v>
      </c>
      <c r="K97" s="241">
        <v>0.26</v>
      </c>
      <c r="L97" s="241">
        <v>2.68</v>
      </c>
      <c r="M97" s="241">
        <v>0.24</v>
      </c>
      <c r="N97" s="241">
        <v>0.31</v>
      </c>
    </row>
    <row r="98" spans="1:14" x14ac:dyDescent="0.2">
      <c r="A98" s="240" t="s">
        <v>289</v>
      </c>
      <c r="B98" s="241">
        <v>92</v>
      </c>
      <c r="C98" s="241">
        <v>21.8</v>
      </c>
      <c r="D98" s="241">
        <v>56</v>
      </c>
      <c r="E98" s="241">
        <f t="shared" si="3"/>
        <v>44</v>
      </c>
      <c r="F98" s="241">
        <v>64</v>
      </c>
      <c r="G98" s="241">
        <v>36</v>
      </c>
      <c r="H98" s="241">
        <v>62</v>
      </c>
      <c r="I98" s="241">
        <v>62</v>
      </c>
      <c r="J98" s="241">
        <v>1.79</v>
      </c>
      <c r="K98" s="241">
        <v>0.31</v>
      </c>
      <c r="L98" s="241">
        <v>2.7</v>
      </c>
      <c r="M98" s="241">
        <v>0.35</v>
      </c>
      <c r="N98" s="241">
        <v>0.31</v>
      </c>
    </row>
    <row r="99" spans="1:14" x14ac:dyDescent="0.2">
      <c r="A99" s="240" t="s">
        <v>288</v>
      </c>
      <c r="B99" s="241">
        <v>90</v>
      </c>
      <c r="C99" s="241">
        <v>21.5</v>
      </c>
      <c r="D99" s="241">
        <v>10</v>
      </c>
      <c r="E99" s="241">
        <f t="shared" si="3"/>
        <v>90</v>
      </c>
      <c r="F99" s="241">
        <v>70</v>
      </c>
      <c r="G99" s="241">
        <v>36</v>
      </c>
      <c r="H99" s="241">
        <v>63</v>
      </c>
      <c r="I99" s="241">
        <v>63</v>
      </c>
      <c r="J99" s="241">
        <v>1.72</v>
      </c>
      <c r="K99" s="241">
        <v>0.3</v>
      </c>
      <c r="L99" s="241">
        <v>2.7</v>
      </c>
      <c r="M99" s="241">
        <v>0.28999999999999998</v>
      </c>
      <c r="N99" s="241">
        <v>0.78</v>
      </c>
    </row>
    <row r="100" spans="1:14" x14ac:dyDescent="0.2">
      <c r="A100" s="240" t="s">
        <v>287</v>
      </c>
      <c r="B100" s="241">
        <v>90</v>
      </c>
      <c r="C100" s="241">
        <v>18.399999999999999</v>
      </c>
      <c r="D100" s="241">
        <v>15</v>
      </c>
      <c r="E100" s="241">
        <f t="shared" si="3"/>
        <v>85</v>
      </c>
      <c r="F100" s="241">
        <v>61</v>
      </c>
      <c r="G100" s="241">
        <v>34</v>
      </c>
      <c r="H100" s="241">
        <v>60</v>
      </c>
      <c r="I100" s="241">
        <v>60</v>
      </c>
      <c r="J100" s="241">
        <v>1.4</v>
      </c>
      <c r="K100" s="241">
        <v>0.23</v>
      </c>
      <c r="L100" s="241">
        <v>2.52</v>
      </c>
      <c r="M100" s="241">
        <v>0.28999999999999998</v>
      </c>
      <c r="N100" s="241">
        <v>0.33</v>
      </c>
    </row>
    <row r="101" spans="1:14" x14ac:dyDescent="0.2">
      <c r="A101" s="240" t="s">
        <v>286</v>
      </c>
      <c r="B101" s="241">
        <v>90</v>
      </c>
      <c r="C101" s="241">
        <v>15.9</v>
      </c>
      <c r="D101" s="241">
        <v>20</v>
      </c>
      <c r="E101" s="241">
        <f t="shared" si="3"/>
        <v>80</v>
      </c>
      <c r="F101" s="241">
        <v>59</v>
      </c>
      <c r="G101" s="241">
        <v>30</v>
      </c>
      <c r="H101" s="241">
        <v>56</v>
      </c>
      <c r="I101" s="241">
        <v>57</v>
      </c>
      <c r="J101" s="241">
        <v>1.35</v>
      </c>
      <c r="K101" s="241">
        <v>0.22</v>
      </c>
      <c r="L101" s="241">
        <v>1.7</v>
      </c>
      <c r="M101" s="241">
        <v>0.27</v>
      </c>
      <c r="N101" s="241">
        <v>0.35</v>
      </c>
    </row>
    <row r="102" spans="1:14" x14ac:dyDescent="0.2">
      <c r="A102" s="240" t="s">
        <v>285</v>
      </c>
      <c r="B102" s="241">
        <v>90</v>
      </c>
      <c r="C102" s="241">
        <v>13.5</v>
      </c>
      <c r="D102" s="241">
        <v>30</v>
      </c>
      <c r="E102" s="241">
        <f t="shared" si="3"/>
        <v>70</v>
      </c>
      <c r="F102" s="241">
        <v>52</v>
      </c>
      <c r="G102" s="241">
        <v>24</v>
      </c>
      <c r="H102" s="241">
        <v>50</v>
      </c>
      <c r="I102" s="241">
        <v>51</v>
      </c>
      <c r="J102" s="241">
        <v>1.26</v>
      </c>
      <c r="K102" s="241">
        <v>0.17</v>
      </c>
      <c r="L102" s="241">
        <v>1.6</v>
      </c>
      <c r="M102" s="241">
        <v>0.2</v>
      </c>
      <c r="N102" s="241">
        <v>0.28999999999999998</v>
      </c>
    </row>
    <row r="103" spans="1:14" x14ac:dyDescent="0.2">
      <c r="A103" s="240" t="s">
        <v>284</v>
      </c>
      <c r="B103" s="241">
        <v>90</v>
      </c>
      <c r="C103" s="241">
        <v>16.2</v>
      </c>
      <c r="D103" s="241">
        <v>15</v>
      </c>
      <c r="E103" s="241">
        <f t="shared" si="3"/>
        <v>85</v>
      </c>
      <c r="F103" s="241">
        <v>64</v>
      </c>
      <c r="G103" s="241">
        <v>27</v>
      </c>
      <c r="H103" s="241">
        <v>52</v>
      </c>
      <c r="I103" s="241">
        <v>56</v>
      </c>
      <c r="J103" s="241">
        <v>1.03</v>
      </c>
      <c r="K103" s="241">
        <v>0.3</v>
      </c>
      <c r="L103" s="241">
        <v>1.85</v>
      </c>
      <c r="M103" s="241">
        <v>0.23</v>
      </c>
      <c r="N103" s="241">
        <v>0.54</v>
      </c>
    </row>
    <row r="104" spans="1:14" x14ac:dyDescent="0.2">
      <c r="A104" s="240" t="s">
        <v>283</v>
      </c>
      <c r="B104" s="241">
        <v>90</v>
      </c>
      <c r="C104" s="241">
        <v>14</v>
      </c>
      <c r="D104" s="241">
        <v>20</v>
      </c>
      <c r="E104" s="241">
        <f t="shared" si="3"/>
        <v>80</v>
      </c>
      <c r="F104" s="241">
        <v>54</v>
      </c>
      <c r="G104" s="241">
        <v>24</v>
      </c>
      <c r="H104" s="241">
        <v>50</v>
      </c>
      <c r="I104" s="241">
        <v>53</v>
      </c>
      <c r="J104" s="241">
        <v>1.1399999999999999</v>
      </c>
      <c r="K104" s="241">
        <v>0.15</v>
      </c>
      <c r="L104" s="241">
        <v>1.4</v>
      </c>
      <c r="M104" s="241">
        <v>0.23</v>
      </c>
      <c r="N104" s="241">
        <v>0.78</v>
      </c>
    </row>
    <row r="105" spans="1:14" x14ac:dyDescent="0.2">
      <c r="A105" s="240" t="s">
        <v>282</v>
      </c>
      <c r="B105" s="241">
        <v>90</v>
      </c>
      <c r="C105" s="241">
        <v>4.0999999999999996</v>
      </c>
      <c r="D105" s="241">
        <v>20</v>
      </c>
      <c r="E105" s="241">
        <f t="shared" si="3"/>
        <v>80</v>
      </c>
      <c r="F105" s="241">
        <v>49</v>
      </c>
      <c r="G105" s="241">
        <v>11</v>
      </c>
      <c r="H105" s="241">
        <v>43</v>
      </c>
      <c r="I105" s="241">
        <v>48</v>
      </c>
      <c r="J105" s="241">
        <v>0.3</v>
      </c>
      <c r="K105" s="241">
        <v>7.0000000000000007E-2</v>
      </c>
      <c r="L105" s="241">
        <v>1.88</v>
      </c>
      <c r="M105" s="241">
        <v>0.17</v>
      </c>
      <c r="N105" s="241">
        <v>0.13</v>
      </c>
    </row>
    <row r="106" spans="1:14" x14ac:dyDescent="0.2">
      <c r="A106" s="240" t="s">
        <v>281</v>
      </c>
      <c r="B106" s="241">
        <v>90</v>
      </c>
      <c r="C106" s="241">
        <v>15.6</v>
      </c>
      <c r="D106" s="241">
        <v>30</v>
      </c>
      <c r="E106" s="241">
        <f t="shared" si="3"/>
        <v>70</v>
      </c>
      <c r="F106" s="241">
        <v>60</v>
      </c>
      <c r="G106" s="241">
        <v>32</v>
      </c>
      <c r="H106" s="241">
        <v>58</v>
      </c>
      <c r="I106" s="241">
        <v>59</v>
      </c>
      <c r="J106" s="241">
        <v>1.75</v>
      </c>
      <c r="K106" s="241">
        <v>0.22</v>
      </c>
      <c r="L106" s="241">
        <v>1.92</v>
      </c>
      <c r="M106" s="241">
        <v>0.23</v>
      </c>
      <c r="N106" s="241">
        <v>0.51</v>
      </c>
    </row>
    <row r="107" spans="1:14" x14ac:dyDescent="0.2">
      <c r="A107" s="240" t="s">
        <v>280</v>
      </c>
      <c r="B107" s="241">
        <v>90</v>
      </c>
      <c r="C107" s="241">
        <v>6.3</v>
      </c>
      <c r="D107" s="241">
        <v>30</v>
      </c>
      <c r="E107" s="241">
        <f t="shared" si="3"/>
        <v>70</v>
      </c>
      <c r="F107" s="241">
        <v>56</v>
      </c>
      <c r="G107" s="241">
        <v>22</v>
      </c>
      <c r="H107" s="241">
        <v>56</v>
      </c>
      <c r="I107" s="241">
        <v>47</v>
      </c>
      <c r="J107" s="241">
        <v>0.21</v>
      </c>
      <c r="K107" s="241">
        <v>0.08</v>
      </c>
      <c r="L107" s="241">
        <v>0.6</v>
      </c>
      <c r="M107" s="241">
        <v>0.1</v>
      </c>
      <c r="N107" s="241">
        <v>0.14000000000000001</v>
      </c>
    </row>
    <row r="108" spans="1:14" x14ac:dyDescent="0.2">
      <c r="A108" s="240" t="s">
        <v>279</v>
      </c>
      <c r="B108" s="241">
        <v>90</v>
      </c>
      <c r="C108" s="241">
        <v>2.9</v>
      </c>
      <c r="D108" s="241">
        <v>30</v>
      </c>
      <c r="E108" s="241">
        <f t="shared" si="3"/>
        <v>70</v>
      </c>
      <c r="F108" s="241">
        <v>54</v>
      </c>
      <c r="G108" s="241">
        <v>15</v>
      </c>
      <c r="H108" s="241">
        <v>56</v>
      </c>
      <c r="I108" s="241">
        <v>47</v>
      </c>
      <c r="J108" s="241">
        <v>0.28999999999999998</v>
      </c>
      <c r="K108" s="241">
        <v>7.0000000000000007E-2</v>
      </c>
      <c r="L108" s="241">
        <v>0.51</v>
      </c>
      <c r="M108" s="241">
        <v>0.1</v>
      </c>
      <c r="N108" s="241">
        <v>0.06</v>
      </c>
    </row>
    <row r="109" spans="1:14" x14ac:dyDescent="0.2">
      <c r="A109" s="240" t="s">
        <v>278</v>
      </c>
      <c r="B109" s="241">
        <v>90</v>
      </c>
      <c r="C109" s="241">
        <v>15</v>
      </c>
      <c r="D109" s="241">
        <v>10</v>
      </c>
      <c r="E109" s="241">
        <f t="shared" si="3"/>
        <v>90</v>
      </c>
      <c r="F109" s="241">
        <v>70</v>
      </c>
      <c r="G109" s="241">
        <v>32</v>
      </c>
      <c r="H109" s="241">
        <v>58</v>
      </c>
      <c r="I109" s="241">
        <v>63</v>
      </c>
      <c r="J109" s="241">
        <v>0.59</v>
      </c>
      <c r="K109" s="241">
        <v>0.32</v>
      </c>
      <c r="L109" s="241">
        <v>2.3199999999999998</v>
      </c>
      <c r="M109" s="241">
        <v>0.2</v>
      </c>
      <c r="N109" s="241">
        <v>0.09</v>
      </c>
    </row>
    <row r="110" spans="1:14" x14ac:dyDescent="0.2">
      <c r="A110" s="240" t="s">
        <v>277</v>
      </c>
      <c r="B110" s="241">
        <v>90</v>
      </c>
      <c r="C110" s="241">
        <v>10.5</v>
      </c>
      <c r="D110" s="241">
        <v>15</v>
      </c>
      <c r="E110" s="241">
        <f t="shared" si="3"/>
        <v>85</v>
      </c>
      <c r="F110" s="241">
        <v>64</v>
      </c>
      <c r="G110" s="241">
        <v>26</v>
      </c>
      <c r="H110" s="241">
        <v>52</v>
      </c>
      <c r="I110" s="241">
        <v>55</v>
      </c>
      <c r="J110" s="241">
        <v>0.43</v>
      </c>
      <c r="K110" s="241">
        <v>0.25</v>
      </c>
      <c r="L110" s="241">
        <v>2.1</v>
      </c>
      <c r="M110" s="241">
        <v>0.2</v>
      </c>
      <c r="N110" s="241">
        <v>0.09</v>
      </c>
    </row>
    <row r="111" spans="1:14" x14ac:dyDescent="0.2">
      <c r="A111" s="240" t="s">
        <v>276</v>
      </c>
      <c r="B111" s="241">
        <v>90</v>
      </c>
      <c r="C111" s="241">
        <v>8</v>
      </c>
      <c r="D111" s="241">
        <v>20</v>
      </c>
      <c r="E111" s="241">
        <f t="shared" si="3"/>
        <v>80</v>
      </c>
      <c r="F111" s="241">
        <v>64</v>
      </c>
      <c r="G111" s="241">
        <v>25</v>
      </c>
      <c r="H111" s="241">
        <v>50</v>
      </c>
      <c r="I111" s="241">
        <v>53</v>
      </c>
      <c r="J111" s="241">
        <v>0.28999999999999998</v>
      </c>
      <c r="K111" s="241">
        <v>0.28000000000000003</v>
      </c>
      <c r="L111" s="241">
        <v>2</v>
      </c>
      <c r="M111" s="241">
        <v>0.2</v>
      </c>
      <c r="N111" s="241">
        <v>0.09</v>
      </c>
    </row>
    <row r="112" spans="1:14" x14ac:dyDescent="0.2">
      <c r="A112" s="240" t="s">
        <v>275</v>
      </c>
      <c r="B112" s="241">
        <v>90</v>
      </c>
      <c r="C112" s="241">
        <v>6</v>
      </c>
      <c r="D112" s="241">
        <v>30</v>
      </c>
      <c r="E112" s="241">
        <f t="shared" si="3"/>
        <v>70</v>
      </c>
      <c r="F112" s="241">
        <v>46</v>
      </c>
      <c r="G112" s="241">
        <v>21</v>
      </c>
      <c r="H112" s="241">
        <v>46</v>
      </c>
      <c r="I112" s="241">
        <v>50</v>
      </c>
      <c r="J112" s="241">
        <v>0.26</v>
      </c>
      <c r="K112" s="241">
        <v>0.15</v>
      </c>
      <c r="L112" s="241">
        <v>1.9</v>
      </c>
      <c r="M112" s="241">
        <v>0.2</v>
      </c>
      <c r="N112" s="241">
        <v>0.09</v>
      </c>
    </row>
    <row r="113" spans="1:14" x14ac:dyDescent="0.2">
      <c r="A113" s="240" t="s">
        <v>274</v>
      </c>
      <c r="B113" s="241">
        <v>90</v>
      </c>
      <c r="C113" s="241">
        <v>9.1999999999999993</v>
      </c>
      <c r="D113" s="241">
        <v>30</v>
      </c>
      <c r="E113" s="241">
        <f t="shared" si="3"/>
        <v>70</v>
      </c>
      <c r="F113" s="241">
        <v>64</v>
      </c>
      <c r="G113" s="241">
        <v>28</v>
      </c>
      <c r="H113" s="241">
        <v>53</v>
      </c>
      <c r="I113" s="241">
        <v>57</v>
      </c>
      <c r="J113" s="241">
        <v>0.52</v>
      </c>
      <c r="K113" s="241">
        <v>0.16</v>
      </c>
      <c r="L113" s="241">
        <v>0.71</v>
      </c>
      <c r="M113" s="241">
        <v>0.1</v>
      </c>
      <c r="N113" s="241">
        <v>0.14000000000000001</v>
      </c>
    </row>
    <row r="114" spans="1:14" x14ac:dyDescent="0.2">
      <c r="A114" s="240" t="s">
        <v>273</v>
      </c>
      <c r="B114" s="241">
        <v>90</v>
      </c>
      <c r="C114" s="241">
        <v>2.8</v>
      </c>
      <c r="D114" s="241">
        <v>30</v>
      </c>
      <c r="E114" s="241">
        <f t="shared" si="3"/>
        <v>70</v>
      </c>
      <c r="F114" s="241">
        <v>50</v>
      </c>
      <c r="G114" s="241">
        <v>19</v>
      </c>
      <c r="H114" s="241">
        <v>44</v>
      </c>
      <c r="I114" s="241">
        <v>48</v>
      </c>
      <c r="J114" s="241">
        <v>0.12</v>
      </c>
      <c r="K114" s="241">
        <v>0.04</v>
      </c>
      <c r="L114" s="241">
        <v>0.84</v>
      </c>
      <c r="M114" s="241">
        <v>0.47</v>
      </c>
      <c r="N114" s="241">
        <v>7.0000000000000007E-2</v>
      </c>
    </row>
    <row r="115" spans="1:14" x14ac:dyDescent="0.2">
      <c r="A115" s="240" t="s">
        <v>272</v>
      </c>
      <c r="B115" s="241">
        <v>90</v>
      </c>
      <c r="C115" s="241">
        <v>4</v>
      </c>
      <c r="D115" s="241">
        <v>30</v>
      </c>
      <c r="E115" s="241">
        <f t="shared" si="3"/>
        <v>70</v>
      </c>
      <c r="F115" s="241">
        <v>48</v>
      </c>
      <c r="G115" s="241">
        <v>22</v>
      </c>
      <c r="H115" s="241">
        <v>47</v>
      </c>
      <c r="I115" s="241">
        <v>48</v>
      </c>
      <c r="J115" s="241">
        <v>0.16</v>
      </c>
      <c r="K115" s="241">
        <v>0.06</v>
      </c>
      <c r="L115" s="241">
        <v>1.4</v>
      </c>
      <c r="M115" s="241">
        <v>0.17</v>
      </c>
      <c r="N115" s="241">
        <v>0.4</v>
      </c>
    </row>
    <row r="116" spans="1:14" x14ac:dyDescent="0.2">
      <c r="A116" s="240" t="s">
        <v>271</v>
      </c>
      <c r="B116" s="241">
        <v>80</v>
      </c>
      <c r="C116" s="241">
        <v>5</v>
      </c>
      <c r="D116" s="241">
        <v>30</v>
      </c>
      <c r="E116" s="241">
        <f t="shared" si="3"/>
        <v>70</v>
      </c>
      <c r="F116" s="241">
        <v>50</v>
      </c>
      <c r="G116" s="241">
        <v>19</v>
      </c>
      <c r="H116" s="241">
        <v>44</v>
      </c>
      <c r="I116" s="241">
        <v>45</v>
      </c>
      <c r="J116" s="241">
        <v>0.43</v>
      </c>
      <c r="K116" s="241">
        <v>0.09</v>
      </c>
      <c r="L116" s="241">
        <v>1.45</v>
      </c>
      <c r="M116" s="241">
        <v>0.17</v>
      </c>
      <c r="N116" s="241">
        <v>0.4</v>
      </c>
    </row>
    <row r="117" spans="1:14" x14ac:dyDescent="0.2">
      <c r="A117" s="240" t="s">
        <v>270</v>
      </c>
      <c r="B117" s="241">
        <v>90</v>
      </c>
      <c r="C117" s="241">
        <v>4.3</v>
      </c>
      <c r="D117" s="241">
        <v>20</v>
      </c>
      <c r="E117" s="241">
        <f t="shared" si="3"/>
        <v>80</v>
      </c>
      <c r="F117" s="241">
        <v>45</v>
      </c>
      <c r="G117" s="241">
        <v>10</v>
      </c>
      <c r="H117" s="241">
        <v>31</v>
      </c>
      <c r="I117" s="241">
        <v>45</v>
      </c>
      <c r="J117" s="241">
        <v>0.16</v>
      </c>
      <c r="K117" s="241">
        <v>0.1</v>
      </c>
      <c r="L117" s="241">
        <v>0.83</v>
      </c>
      <c r="M117" s="241">
        <v>0.09</v>
      </c>
      <c r="N117" s="241">
        <v>0.14000000000000001</v>
      </c>
    </row>
    <row r="118" spans="1:14" x14ac:dyDescent="0.2">
      <c r="A118" s="240" t="s">
        <v>269</v>
      </c>
      <c r="B118" s="241">
        <v>90</v>
      </c>
      <c r="C118" s="241">
        <v>9.6999999999999993</v>
      </c>
      <c r="D118" s="241">
        <v>20</v>
      </c>
      <c r="E118" s="241">
        <f t="shared" si="3"/>
        <v>80</v>
      </c>
      <c r="F118" s="241">
        <v>49</v>
      </c>
      <c r="G118" s="241">
        <v>24</v>
      </c>
      <c r="H118" s="241">
        <v>49</v>
      </c>
      <c r="I118" s="241">
        <v>53</v>
      </c>
      <c r="J118" s="241">
        <v>0.33</v>
      </c>
      <c r="K118" s="241">
        <v>0.21</v>
      </c>
      <c r="L118" s="241">
        <v>2</v>
      </c>
      <c r="M118" s="241">
        <v>0.1</v>
      </c>
      <c r="N118" s="241">
        <v>0.16</v>
      </c>
    </row>
    <row r="119" spans="1:14" x14ac:dyDescent="0.2">
      <c r="A119" s="240" t="s">
        <v>268</v>
      </c>
      <c r="B119" s="241">
        <v>90</v>
      </c>
      <c r="C119" s="241">
        <v>8.6999999999999993</v>
      </c>
      <c r="D119" s="241">
        <v>25</v>
      </c>
      <c r="E119" s="241">
        <f t="shared" si="3"/>
        <v>75</v>
      </c>
      <c r="F119" s="241">
        <v>46</v>
      </c>
      <c r="G119" s="241">
        <v>21</v>
      </c>
      <c r="H119" s="241">
        <v>46</v>
      </c>
      <c r="I119" s="241">
        <v>50</v>
      </c>
      <c r="J119" s="241">
        <v>0.28000000000000003</v>
      </c>
      <c r="K119" s="241">
        <v>0.16</v>
      </c>
      <c r="L119" s="241">
        <v>1</v>
      </c>
      <c r="M119" s="241">
        <v>0.1</v>
      </c>
      <c r="N119" s="241">
        <v>0.28000000000000003</v>
      </c>
    </row>
    <row r="120" spans="1:14" x14ac:dyDescent="0.2">
      <c r="A120" s="240" t="s">
        <v>267</v>
      </c>
      <c r="B120" s="241">
        <v>90</v>
      </c>
      <c r="C120" s="241">
        <v>6</v>
      </c>
      <c r="D120" s="241">
        <v>30</v>
      </c>
      <c r="E120" s="241">
        <f t="shared" si="3"/>
        <v>70</v>
      </c>
      <c r="F120" s="241">
        <v>33</v>
      </c>
      <c r="G120" s="241">
        <v>9</v>
      </c>
      <c r="H120" s="241">
        <v>33</v>
      </c>
      <c r="I120" s="241">
        <v>44</v>
      </c>
      <c r="J120" s="241">
        <v>0.26</v>
      </c>
      <c r="K120" s="241">
        <v>0.12</v>
      </c>
      <c r="L120" s="241">
        <v>0.75</v>
      </c>
      <c r="M120" s="241">
        <v>0.1</v>
      </c>
      <c r="N120" s="241">
        <v>0.28000000000000003</v>
      </c>
    </row>
    <row r="121" spans="1:14" x14ac:dyDescent="0.2">
      <c r="A121" s="240" t="s">
        <v>266</v>
      </c>
      <c r="B121" s="241">
        <v>90</v>
      </c>
      <c r="C121" s="241">
        <v>9.5</v>
      </c>
      <c r="D121" s="241">
        <v>30</v>
      </c>
      <c r="E121" s="241">
        <f t="shared" si="3"/>
        <v>70</v>
      </c>
      <c r="F121" s="241">
        <v>66</v>
      </c>
      <c r="G121" s="241">
        <v>26</v>
      </c>
      <c r="H121" s="241">
        <v>51</v>
      </c>
      <c r="I121" s="241">
        <v>55</v>
      </c>
      <c r="J121" s="241">
        <v>0.4</v>
      </c>
      <c r="K121" s="241">
        <v>0.26</v>
      </c>
      <c r="L121" s="241">
        <v>1.7</v>
      </c>
      <c r="M121" s="241">
        <v>0.15</v>
      </c>
      <c r="N121" s="241">
        <v>0.19</v>
      </c>
    </row>
    <row r="122" spans="1:14" x14ac:dyDescent="0.2">
      <c r="A122" s="240" t="s">
        <v>265</v>
      </c>
      <c r="B122" s="241">
        <v>90</v>
      </c>
      <c r="C122" s="241">
        <v>8.4</v>
      </c>
      <c r="D122" s="241">
        <v>30</v>
      </c>
      <c r="E122" s="241">
        <f t="shared" si="3"/>
        <v>70</v>
      </c>
      <c r="F122" s="241">
        <v>57</v>
      </c>
      <c r="G122" s="241">
        <v>21</v>
      </c>
      <c r="H122" s="241">
        <v>46</v>
      </c>
      <c r="I122" s="241">
        <v>50</v>
      </c>
      <c r="J122" s="241">
        <v>0.26</v>
      </c>
      <c r="K122" s="241">
        <v>0.18</v>
      </c>
      <c r="L122" s="241">
        <v>1.7</v>
      </c>
      <c r="M122" s="241">
        <v>0.15</v>
      </c>
      <c r="N122" s="241">
        <v>0.19</v>
      </c>
    </row>
    <row r="123" spans="1:14" x14ac:dyDescent="0.2">
      <c r="A123" s="240" t="s">
        <v>264</v>
      </c>
      <c r="B123" s="241">
        <v>90</v>
      </c>
      <c r="C123" s="241">
        <v>8.6</v>
      </c>
      <c r="D123" s="241">
        <v>30</v>
      </c>
      <c r="E123" s="241">
        <f t="shared" si="3"/>
        <v>70</v>
      </c>
      <c r="F123" s="241">
        <v>58</v>
      </c>
      <c r="G123" s="241">
        <v>29</v>
      </c>
      <c r="H123" s="241">
        <v>58</v>
      </c>
      <c r="I123" s="241">
        <v>56</v>
      </c>
      <c r="J123" s="241">
        <v>0.33</v>
      </c>
      <c r="K123" s="241">
        <v>0.19</v>
      </c>
      <c r="L123" s="241">
        <v>1.94</v>
      </c>
      <c r="M123" s="241">
        <v>0.16</v>
      </c>
      <c r="N123" s="241">
        <v>0.23</v>
      </c>
    </row>
    <row r="124" spans="1:14" x14ac:dyDescent="0.2">
      <c r="A124" s="240" t="s">
        <v>263</v>
      </c>
      <c r="B124" s="241">
        <v>90</v>
      </c>
      <c r="C124" s="241">
        <v>9.1999999999999993</v>
      </c>
      <c r="D124" s="241">
        <v>30</v>
      </c>
      <c r="E124" s="241">
        <f t="shared" si="3"/>
        <v>70</v>
      </c>
      <c r="F124" s="241">
        <v>62</v>
      </c>
      <c r="G124" s="241">
        <v>31</v>
      </c>
      <c r="H124" s="241">
        <v>58</v>
      </c>
      <c r="I124" s="241">
        <v>59</v>
      </c>
      <c r="J124" s="241">
        <v>0.26</v>
      </c>
      <c r="K124" s="241">
        <v>0.24</v>
      </c>
      <c r="L124" s="241">
        <v>1.51</v>
      </c>
      <c r="M124" s="241">
        <v>0.25</v>
      </c>
      <c r="N124" s="241">
        <v>0.26</v>
      </c>
    </row>
    <row r="125" spans="1:14" x14ac:dyDescent="0.2">
      <c r="A125" s="240" t="s">
        <v>262</v>
      </c>
      <c r="B125" s="241">
        <v>92</v>
      </c>
      <c r="C125" s="241">
        <v>3.8</v>
      </c>
      <c r="D125" s="241">
        <v>30</v>
      </c>
      <c r="E125" s="241">
        <f t="shared" si="3"/>
        <v>70</v>
      </c>
      <c r="F125" s="241">
        <v>34</v>
      </c>
      <c r="G125" s="241">
        <v>0</v>
      </c>
      <c r="H125" s="241">
        <v>19</v>
      </c>
      <c r="I125" s="241">
        <v>35</v>
      </c>
      <c r="J125" s="241">
        <v>0.16</v>
      </c>
      <c r="K125" s="241">
        <v>0.11</v>
      </c>
      <c r="L125" s="241">
        <v>0.62</v>
      </c>
      <c r="M125" s="241">
        <v>0.15</v>
      </c>
      <c r="N125" s="241">
        <v>0.09</v>
      </c>
    </row>
    <row r="126" spans="1:14" x14ac:dyDescent="0.2">
      <c r="A126" s="240" t="s">
        <v>261</v>
      </c>
      <c r="B126" s="241">
        <v>90</v>
      </c>
      <c r="C126" s="241">
        <v>4.4000000000000004</v>
      </c>
      <c r="D126" s="241">
        <v>30</v>
      </c>
      <c r="E126" s="241">
        <f t="shared" si="3"/>
        <v>70</v>
      </c>
      <c r="F126" s="241">
        <v>50</v>
      </c>
      <c r="G126" s="241">
        <v>13</v>
      </c>
      <c r="H126" s="241">
        <v>48</v>
      </c>
      <c r="I126" s="241">
        <v>50</v>
      </c>
      <c r="J126" s="241">
        <v>0.26</v>
      </c>
      <c r="K126" s="241">
        <v>7.0000000000000007E-2</v>
      </c>
      <c r="L126" s="241">
        <v>2.44</v>
      </c>
      <c r="M126" s="241">
        <v>0.23</v>
      </c>
      <c r="N126" s="241">
        <v>0.18</v>
      </c>
    </row>
    <row r="127" spans="1:14" x14ac:dyDescent="0.2">
      <c r="A127" s="240" t="s">
        <v>260</v>
      </c>
      <c r="B127" s="241">
        <v>90</v>
      </c>
      <c r="C127" s="241">
        <v>13</v>
      </c>
      <c r="D127" s="241">
        <v>15</v>
      </c>
      <c r="E127" s="241">
        <f t="shared" si="3"/>
        <v>85</v>
      </c>
      <c r="F127" s="241">
        <v>67</v>
      </c>
      <c r="G127" s="241">
        <v>29</v>
      </c>
      <c r="H127" s="241">
        <v>54</v>
      </c>
      <c r="I127" s="241">
        <v>56</v>
      </c>
      <c r="J127" s="241">
        <v>0.43</v>
      </c>
      <c r="K127" s="241">
        <v>0.22</v>
      </c>
      <c r="L127" s="241">
        <v>2</v>
      </c>
      <c r="M127" s="241">
        <v>0.24</v>
      </c>
      <c r="N127" s="241">
        <v>0.11</v>
      </c>
    </row>
    <row r="128" spans="1:14" x14ac:dyDescent="0.2">
      <c r="A128" s="240" t="s">
        <v>259</v>
      </c>
      <c r="B128" s="241">
        <v>90</v>
      </c>
      <c r="C128" s="241">
        <v>8.4</v>
      </c>
      <c r="D128" s="241">
        <v>30</v>
      </c>
      <c r="E128" s="241">
        <f t="shared" ref="E128:E153" si="4">100-D128</f>
        <v>70</v>
      </c>
      <c r="F128" s="241">
        <v>50</v>
      </c>
      <c r="G128" s="241">
        <v>22</v>
      </c>
      <c r="H128" s="241">
        <v>47</v>
      </c>
      <c r="I128" s="241">
        <v>50</v>
      </c>
      <c r="J128" s="241">
        <v>0.26</v>
      </c>
      <c r="K128" s="241">
        <v>0.18</v>
      </c>
      <c r="L128" s="241">
        <v>2.1</v>
      </c>
      <c r="M128" s="241">
        <v>0.24</v>
      </c>
      <c r="N128" s="241">
        <v>0.11</v>
      </c>
    </row>
    <row r="129" spans="1:14" x14ac:dyDescent="0.2">
      <c r="A129" s="240" t="s">
        <v>258</v>
      </c>
      <c r="B129" s="241">
        <v>90</v>
      </c>
      <c r="C129" s="241">
        <v>8.5</v>
      </c>
      <c r="D129" s="241">
        <v>30</v>
      </c>
      <c r="E129" s="241">
        <f t="shared" si="4"/>
        <v>70</v>
      </c>
      <c r="F129" s="241">
        <v>63</v>
      </c>
      <c r="G129" s="241">
        <v>34.9</v>
      </c>
      <c r="H129" s="241">
        <v>60.8</v>
      </c>
      <c r="I129" s="241">
        <v>61</v>
      </c>
      <c r="J129" s="241">
        <v>0.33</v>
      </c>
      <c r="K129" s="241">
        <v>0.19</v>
      </c>
      <c r="L129" s="241">
        <v>1.54</v>
      </c>
      <c r="M129" s="241">
        <v>0.16</v>
      </c>
      <c r="N129" s="241">
        <v>0.23</v>
      </c>
    </row>
    <row r="130" spans="1:14" x14ac:dyDescent="0.2">
      <c r="A130" s="240" t="s">
        <v>257</v>
      </c>
      <c r="B130" s="241">
        <v>90</v>
      </c>
      <c r="C130" s="241">
        <v>8.6999999999999993</v>
      </c>
      <c r="D130" s="241">
        <v>15</v>
      </c>
      <c r="E130" s="241">
        <f t="shared" si="4"/>
        <v>85</v>
      </c>
      <c r="F130" s="241">
        <v>60</v>
      </c>
      <c r="G130" s="241">
        <v>27</v>
      </c>
      <c r="H130" s="241">
        <v>52</v>
      </c>
      <c r="I130" s="241">
        <v>53</v>
      </c>
      <c r="J130" s="241">
        <v>0.49</v>
      </c>
      <c r="K130" s="241">
        <v>0.19</v>
      </c>
      <c r="L130" s="241">
        <v>1.08</v>
      </c>
      <c r="M130" s="241">
        <v>0.1</v>
      </c>
      <c r="N130" s="241">
        <v>0.24</v>
      </c>
    </row>
    <row r="131" spans="1:14" x14ac:dyDescent="0.2">
      <c r="A131" s="240" t="s">
        <v>256</v>
      </c>
      <c r="B131" s="241">
        <v>90</v>
      </c>
      <c r="C131" s="241">
        <v>6.2</v>
      </c>
      <c r="D131" s="241">
        <v>25</v>
      </c>
      <c r="E131" s="241">
        <f t="shared" si="4"/>
        <v>75</v>
      </c>
      <c r="F131" s="241">
        <v>56</v>
      </c>
      <c r="G131" s="241">
        <v>20</v>
      </c>
      <c r="H131" s="241">
        <v>45</v>
      </c>
      <c r="I131" s="241">
        <v>50</v>
      </c>
      <c r="J131" s="241">
        <v>0.38</v>
      </c>
      <c r="K131" s="241">
        <v>0.14000000000000001</v>
      </c>
      <c r="L131" s="241">
        <v>1.08</v>
      </c>
      <c r="M131" s="241">
        <v>0.1</v>
      </c>
      <c r="N131" s="241">
        <v>0.24</v>
      </c>
    </row>
    <row r="132" spans="1:14" x14ac:dyDescent="0.2">
      <c r="A132" s="240" t="s">
        <v>255</v>
      </c>
      <c r="B132" s="241">
        <v>90</v>
      </c>
      <c r="C132" s="241">
        <v>4.9000000000000004</v>
      </c>
      <c r="D132" s="241">
        <v>30</v>
      </c>
      <c r="E132" s="241">
        <f t="shared" si="4"/>
        <v>70</v>
      </c>
      <c r="F132" s="241">
        <v>50</v>
      </c>
      <c r="G132" s="241">
        <v>20</v>
      </c>
      <c r="H132" s="241">
        <v>46</v>
      </c>
      <c r="I132" s="241">
        <v>46</v>
      </c>
      <c r="J132" s="241">
        <v>0.38</v>
      </c>
      <c r="K132" s="241">
        <v>0.09</v>
      </c>
      <c r="L132" s="241">
        <v>0.79</v>
      </c>
      <c r="M132" s="241">
        <v>0.1</v>
      </c>
      <c r="N132" s="241">
        <v>0.28000000000000003</v>
      </c>
    </row>
    <row r="133" spans="1:14" x14ac:dyDescent="0.2">
      <c r="A133" s="240" t="s">
        <v>254</v>
      </c>
      <c r="B133" s="241">
        <v>90</v>
      </c>
      <c r="C133" s="241">
        <v>14.9</v>
      </c>
      <c r="D133" s="241">
        <v>15</v>
      </c>
      <c r="E133" s="241">
        <f t="shared" si="4"/>
        <v>85</v>
      </c>
      <c r="F133" s="241">
        <v>60</v>
      </c>
      <c r="G133" s="241">
        <v>26</v>
      </c>
      <c r="H133" s="241">
        <v>52</v>
      </c>
      <c r="I133" s="241">
        <v>53</v>
      </c>
      <c r="J133" s="241">
        <v>1.49</v>
      </c>
      <c r="K133" s="241">
        <v>0.25</v>
      </c>
      <c r="L133" s="241">
        <v>1.62</v>
      </c>
      <c r="M133" s="241">
        <v>0.17</v>
      </c>
      <c r="N133" s="241">
        <v>0.43</v>
      </c>
    </row>
    <row r="134" spans="1:14" x14ac:dyDescent="0.2">
      <c r="A134" s="240" t="s">
        <v>253</v>
      </c>
      <c r="B134" s="241">
        <v>90</v>
      </c>
      <c r="C134" s="241">
        <v>8.5</v>
      </c>
      <c r="D134" s="241">
        <v>20</v>
      </c>
      <c r="E134" s="241">
        <f t="shared" si="4"/>
        <v>80</v>
      </c>
      <c r="F134" s="241">
        <v>50</v>
      </c>
      <c r="G134" s="241">
        <v>27</v>
      </c>
      <c r="H134" s="241">
        <v>52</v>
      </c>
      <c r="I134" s="241">
        <v>55</v>
      </c>
      <c r="J134" s="241">
        <v>0.33</v>
      </c>
      <c r="K134" s="241">
        <v>0.16</v>
      </c>
      <c r="L134" s="241">
        <v>2.35</v>
      </c>
      <c r="M134" s="241">
        <v>0.41</v>
      </c>
      <c r="N134" s="241">
        <v>0.26</v>
      </c>
    </row>
    <row r="135" spans="1:14" x14ac:dyDescent="0.2">
      <c r="A135" s="240" t="s">
        <v>252</v>
      </c>
      <c r="B135" s="241">
        <v>92</v>
      </c>
      <c r="C135" s="241">
        <v>3.1</v>
      </c>
      <c r="D135" s="241">
        <v>30</v>
      </c>
      <c r="E135" s="241">
        <f t="shared" si="4"/>
        <v>70</v>
      </c>
      <c r="F135" s="241">
        <v>8</v>
      </c>
      <c r="G135" s="241">
        <v>0</v>
      </c>
      <c r="H135" s="241">
        <v>0</v>
      </c>
      <c r="I135" s="241">
        <v>12</v>
      </c>
      <c r="J135" s="241">
        <v>0.09</v>
      </c>
      <c r="K135" s="241">
        <v>0.08</v>
      </c>
      <c r="L135" s="241">
        <v>0.56999999999999995</v>
      </c>
      <c r="M135" s="241">
        <v>0.1</v>
      </c>
      <c r="N135" s="241">
        <v>0.1</v>
      </c>
    </row>
    <row r="136" spans="1:14" x14ac:dyDescent="0.2">
      <c r="A136" s="240" t="s">
        <v>251</v>
      </c>
      <c r="B136" s="241">
        <v>90</v>
      </c>
      <c r="C136" s="241">
        <v>9.5</v>
      </c>
      <c r="D136" s="241">
        <v>15</v>
      </c>
      <c r="E136" s="241">
        <f t="shared" si="4"/>
        <v>85</v>
      </c>
      <c r="F136" s="241">
        <v>62</v>
      </c>
      <c r="G136" s="241">
        <v>31</v>
      </c>
      <c r="H136" s="241">
        <v>56</v>
      </c>
      <c r="I136" s="241">
        <v>58</v>
      </c>
      <c r="J136" s="241">
        <v>0.35</v>
      </c>
      <c r="K136" s="241">
        <v>0.21</v>
      </c>
      <c r="L136" s="241">
        <v>1.5</v>
      </c>
      <c r="M136" s="241">
        <v>0.12</v>
      </c>
      <c r="N136" s="241">
        <v>0.26</v>
      </c>
    </row>
    <row r="137" spans="1:14" x14ac:dyDescent="0.2">
      <c r="A137" s="240" t="s">
        <v>250</v>
      </c>
      <c r="B137" s="241">
        <v>90</v>
      </c>
      <c r="C137" s="241">
        <v>7.4</v>
      </c>
      <c r="D137" s="241">
        <v>20</v>
      </c>
      <c r="E137" s="241">
        <f t="shared" si="4"/>
        <v>80</v>
      </c>
      <c r="F137" s="241">
        <v>62</v>
      </c>
      <c r="G137" s="241">
        <v>32</v>
      </c>
      <c r="H137" s="241">
        <v>58</v>
      </c>
      <c r="I137" s="241">
        <v>54</v>
      </c>
      <c r="J137" s="241">
        <v>0.35</v>
      </c>
      <c r="K137" s="241">
        <v>0.21</v>
      </c>
      <c r="L137" s="241">
        <v>1.25</v>
      </c>
      <c r="M137" s="241">
        <v>0.12</v>
      </c>
      <c r="N137" s="241">
        <v>0.26</v>
      </c>
    </row>
    <row r="138" spans="1:14" x14ac:dyDescent="0.2">
      <c r="A138" s="240" t="s">
        <v>249</v>
      </c>
      <c r="B138" s="241">
        <v>90</v>
      </c>
      <c r="C138" s="241">
        <v>8.5</v>
      </c>
      <c r="D138" s="241">
        <v>20</v>
      </c>
      <c r="E138" s="241">
        <f t="shared" si="4"/>
        <v>80</v>
      </c>
      <c r="F138" s="241">
        <v>67</v>
      </c>
      <c r="G138" s="241">
        <v>37</v>
      </c>
      <c r="H138" s="241">
        <v>63</v>
      </c>
      <c r="I138" s="241">
        <v>63</v>
      </c>
      <c r="J138" s="241">
        <v>0.33</v>
      </c>
      <c r="K138" s="241">
        <v>0.22</v>
      </c>
      <c r="L138" s="241">
        <v>0.97</v>
      </c>
      <c r="M138" s="241">
        <v>0.17</v>
      </c>
      <c r="N138" s="241">
        <v>0.26</v>
      </c>
    </row>
    <row r="139" spans="1:14" x14ac:dyDescent="0.2">
      <c r="A139" s="240" t="s">
        <v>248</v>
      </c>
      <c r="B139" s="241">
        <v>85</v>
      </c>
      <c r="C139" s="241">
        <v>7</v>
      </c>
      <c r="D139" s="241">
        <v>20</v>
      </c>
      <c r="E139" s="241">
        <f t="shared" si="4"/>
        <v>80</v>
      </c>
      <c r="F139" s="241">
        <v>59</v>
      </c>
      <c r="G139" s="241">
        <v>27</v>
      </c>
      <c r="H139" s="241">
        <v>55</v>
      </c>
      <c r="I139" s="241">
        <v>55</v>
      </c>
      <c r="J139" s="241">
        <v>0.38</v>
      </c>
      <c r="K139" s="241">
        <v>0.14000000000000001</v>
      </c>
      <c r="L139" s="241">
        <v>1.45</v>
      </c>
      <c r="M139" s="241">
        <v>0.15</v>
      </c>
      <c r="N139" s="241">
        <v>0.34</v>
      </c>
    </row>
    <row r="140" spans="1:14" x14ac:dyDescent="0.2">
      <c r="A140" s="240" t="s">
        <v>247</v>
      </c>
      <c r="B140" s="241">
        <v>85</v>
      </c>
      <c r="C140" s="241">
        <v>7.4</v>
      </c>
      <c r="D140" s="241">
        <v>30</v>
      </c>
      <c r="E140" s="241">
        <f t="shared" si="4"/>
        <v>70</v>
      </c>
      <c r="F140" s="241">
        <v>59</v>
      </c>
      <c r="G140" s="241">
        <v>42</v>
      </c>
      <c r="H140" s="241">
        <v>68</v>
      </c>
      <c r="I140" s="241">
        <v>65</v>
      </c>
      <c r="J140" s="241">
        <v>0.4</v>
      </c>
      <c r="K140" s="241">
        <v>0.19</v>
      </c>
      <c r="L140" s="241">
        <v>1.47</v>
      </c>
      <c r="M140" s="241">
        <v>0.06</v>
      </c>
      <c r="N140" s="241">
        <v>0.3</v>
      </c>
    </row>
    <row r="141" spans="1:14" x14ac:dyDescent="0.2">
      <c r="A141" s="240" t="s">
        <v>246</v>
      </c>
      <c r="B141" s="241">
        <v>80</v>
      </c>
      <c r="C141" s="241">
        <v>5.3</v>
      </c>
      <c r="D141" s="241">
        <v>30</v>
      </c>
      <c r="E141" s="241">
        <f t="shared" si="4"/>
        <v>70</v>
      </c>
      <c r="F141" s="241">
        <v>55</v>
      </c>
      <c r="G141" s="241">
        <v>23</v>
      </c>
      <c r="H141" s="241">
        <v>50</v>
      </c>
      <c r="I141" s="241">
        <v>47</v>
      </c>
      <c r="J141" s="241">
        <v>0.48</v>
      </c>
      <c r="K141" s="241">
        <v>0.11</v>
      </c>
      <c r="L141" s="241">
        <v>1.2</v>
      </c>
      <c r="M141" s="241">
        <v>0.04</v>
      </c>
      <c r="N141" s="241">
        <v>0.3</v>
      </c>
    </row>
    <row r="142" spans="1:14" x14ac:dyDescent="0.2">
      <c r="A142" s="240" t="s">
        <v>245</v>
      </c>
      <c r="B142" s="241">
        <v>90</v>
      </c>
      <c r="C142" s="241">
        <v>16.8</v>
      </c>
      <c r="D142" s="241">
        <v>20</v>
      </c>
      <c r="E142" s="241">
        <f t="shared" si="4"/>
        <v>80</v>
      </c>
      <c r="F142" s="241">
        <v>61</v>
      </c>
      <c r="G142" s="241">
        <v>24</v>
      </c>
      <c r="H142" s="241">
        <v>49</v>
      </c>
      <c r="I142" s="241">
        <v>53</v>
      </c>
      <c r="J142" s="241">
        <v>1.29</v>
      </c>
      <c r="K142" s="241">
        <v>0.33</v>
      </c>
      <c r="L142" s="241">
        <v>0.97</v>
      </c>
      <c r="M142" s="241">
        <v>0.26</v>
      </c>
      <c r="N142" s="241">
        <v>0.79</v>
      </c>
    </row>
    <row r="143" spans="1:14" x14ac:dyDescent="0.2">
      <c r="A143" s="240" t="s">
        <v>244</v>
      </c>
      <c r="B143" s="241">
        <v>90</v>
      </c>
      <c r="C143" s="241">
        <v>5.5</v>
      </c>
      <c r="D143" s="241">
        <v>20</v>
      </c>
      <c r="E143" s="241">
        <f t="shared" si="4"/>
        <v>80</v>
      </c>
      <c r="F143" s="241">
        <v>44</v>
      </c>
      <c r="G143" s="241">
        <v>6</v>
      </c>
      <c r="H143" s="241">
        <v>31</v>
      </c>
      <c r="I143" s="241">
        <v>40</v>
      </c>
      <c r="J143" s="241">
        <v>1.59</v>
      </c>
      <c r="K143" s="241">
        <v>0.06</v>
      </c>
      <c r="L143" s="241">
        <v>0.53</v>
      </c>
      <c r="M143" s="241">
        <v>0.1</v>
      </c>
      <c r="N143" s="241">
        <v>0.92</v>
      </c>
    </row>
    <row r="144" spans="1:14" x14ac:dyDescent="0.2">
      <c r="A144" s="240" t="s">
        <v>243</v>
      </c>
      <c r="B144" s="241">
        <v>89</v>
      </c>
      <c r="C144" s="241">
        <v>11</v>
      </c>
      <c r="D144" s="241">
        <v>15</v>
      </c>
      <c r="E144" s="241">
        <f t="shared" si="4"/>
        <v>85</v>
      </c>
      <c r="F144" s="241">
        <v>68</v>
      </c>
      <c r="G144" s="241">
        <v>29</v>
      </c>
      <c r="H144" s="241">
        <v>54</v>
      </c>
      <c r="I144" s="241">
        <v>56</v>
      </c>
      <c r="J144" s="241">
        <v>0.56000000000000005</v>
      </c>
      <c r="K144" s="241">
        <v>0.19</v>
      </c>
      <c r="L144" s="241">
        <v>1.54</v>
      </c>
      <c r="M144" s="241">
        <v>0.06</v>
      </c>
      <c r="N144" s="241">
        <v>0.49</v>
      </c>
    </row>
    <row r="145" spans="1:14" x14ac:dyDescent="0.2">
      <c r="A145" s="240" t="s">
        <v>242</v>
      </c>
      <c r="B145" s="241">
        <v>90</v>
      </c>
      <c r="C145" s="241">
        <v>6.6</v>
      </c>
      <c r="D145" s="241">
        <v>30</v>
      </c>
      <c r="E145" s="241">
        <f t="shared" si="4"/>
        <v>70</v>
      </c>
      <c r="F145" s="241">
        <v>52</v>
      </c>
      <c r="G145" s="241">
        <v>24</v>
      </c>
      <c r="H145" s="241">
        <v>50</v>
      </c>
      <c r="I145" s="241">
        <v>48</v>
      </c>
      <c r="J145" s="241">
        <v>0.26</v>
      </c>
      <c r="K145" s="241">
        <v>0.14000000000000001</v>
      </c>
      <c r="L145" s="241">
        <v>1.54</v>
      </c>
      <c r="M145" s="241">
        <v>0.06</v>
      </c>
      <c r="N145" s="241">
        <v>0.49</v>
      </c>
    </row>
    <row r="146" spans="1:14" x14ac:dyDescent="0.2">
      <c r="A146" s="240" t="s">
        <v>241</v>
      </c>
      <c r="B146" s="241">
        <v>93</v>
      </c>
      <c r="C146" s="241">
        <v>4</v>
      </c>
      <c r="D146" s="241">
        <v>30</v>
      </c>
      <c r="E146" s="241">
        <f t="shared" si="4"/>
        <v>70</v>
      </c>
      <c r="F146" s="241">
        <v>70</v>
      </c>
      <c r="G146" s="241">
        <v>6</v>
      </c>
      <c r="H146" s="241">
        <v>30</v>
      </c>
      <c r="I146" s="241">
        <v>28</v>
      </c>
      <c r="J146" s="241">
        <v>0.2</v>
      </c>
      <c r="K146" s="241">
        <v>0.11</v>
      </c>
      <c r="L146" s="241">
        <v>0.45</v>
      </c>
      <c r="M146" s="241">
        <v>0.02</v>
      </c>
      <c r="N146" s="241">
        <v>0.25</v>
      </c>
    </row>
    <row r="147" spans="1:14" x14ac:dyDescent="0.2">
      <c r="A147" s="240" t="s">
        <v>240</v>
      </c>
      <c r="B147" s="241">
        <v>90</v>
      </c>
      <c r="C147" s="241">
        <v>17.8</v>
      </c>
      <c r="D147" s="241">
        <v>15</v>
      </c>
      <c r="E147" s="241">
        <f t="shared" si="4"/>
        <v>85</v>
      </c>
      <c r="F147" s="241">
        <v>60</v>
      </c>
      <c r="G147" s="241">
        <v>34</v>
      </c>
      <c r="H147" s="241">
        <v>60</v>
      </c>
      <c r="I147" s="241">
        <v>60</v>
      </c>
      <c r="J147" s="241">
        <v>1.45</v>
      </c>
      <c r="K147" s="241">
        <v>0.24</v>
      </c>
      <c r="L147" s="241">
        <v>1.9</v>
      </c>
      <c r="M147" s="241">
        <v>0.49</v>
      </c>
      <c r="N147" s="241">
        <v>0.25</v>
      </c>
    </row>
    <row r="148" spans="1:14" x14ac:dyDescent="0.2">
      <c r="A148" s="240" t="s">
        <v>239</v>
      </c>
      <c r="B148" s="241">
        <v>86</v>
      </c>
      <c r="C148" s="241">
        <v>16</v>
      </c>
      <c r="D148" s="241">
        <v>20</v>
      </c>
      <c r="E148" s="241">
        <f t="shared" si="4"/>
        <v>80</v>
      </c>
      <c r="F148" s="241">
        <v>58</v>
      </c>
      <c r="G148" s="241">
        <v>28</v>
      </c>
      <c r="H148" s="241">
        <v>56</v>
      </c>
      <c r="I148" s="241">
        <v>55</v>
      </c>
      <c r="J148" s="241">
        <v>1.4</v>
      </c>
      <c r="K148" s="241">
        <v>0.21</v>
      </c>
      <c r="L148" s="241">
        <v>1.84</v>
      </c>
      <c r="M148" s="241">
        <v>0.49</v>
      </c>
      <c r="N148" s="241">
        <v>0.33</v>
      </c>
    </row>
    <row r="149" spans="1:14" x14ac:dyDescent="0.2">
      <c r="A149" s="240" t="s">
        <v>238</v>
      </c>
      <c r="B149" s="241">
        <v>86</v>
      </c>
      <c r="C149" s="241">
        <v>13</v>
      </c>
      <c r="D149" s="241">
        <v>25</v>
      </c>
      <c r="E149" s="241">
        <f t="shared" si="4"/>
        <v>75</v>
      </c>
      <c r="F149" s="241">
        <v>56</v>
      </c>
      <c r="G149" s="241">
        <v>25</v>
      </c>
      <c r="H149" s="241">
        <v>50</v>
      </c>
      <c r="I149" s="241">
        <v>52</v>
      </c>
      <c r="J149" s="241">
        <v>1.35</v>
      </c>
      <c r="K149" s="241">
        <v>0.18</v>
      </c>
      <c r="L149" s="241">
        <v>1.1000000000000001</v>
      </c>
      <c r="M149" s="241">
        <v>0.49</v>
      </c>
      <c r="N149" s="241">
        <v>0.25</v>
      </c>
    </row>
    <row r="150" spans="1:14" x14ac:dyDescent="0.2">
      <c r="A150" s="240" t="s">
        <v>237</v>
      </c>
      <c r="B150" s="241">
        <v>88</v>
      </c>
      <c r="C150" s="241">
        <v>11</v>
      </c>
      <c r="D150" s="241">
        <v>30</v>
      </c>
      <c r="E150" s="241">
        <f t="shared" si="4"/>
        <v>70</v>
      </c>
      <c r="F150" s="241">
        <v>51</v>
      </c>
      <c r="G150" s="241">
        <v>17</v>
      </c>
      <c r="H150" s="241">
        <v>42</v>
      </c>
      <c r="I150" s="241">
        <v>47</v>
      </c>
      <c r="J150" s="241">
        <v>1.3</v>
      </c>
      <c r="K150" s="241">
        <v>0.18</v>
      </c>
      <c r="L150" s="241">
        <v>0.8</v>
      </c>
      <c r="M150" s="241">
        <v>0.49</v>
      </c>
      <c r="N150" s="241">
        <v>0.62</v>
      </c>
    </row>
    <row r="151" spans="1:14" x14ac:dyDescent="0.2">
      <c r="A151" s="240" t="s">
        <v>236</v>
      </c>
      <c r="B151" s="241">
        <v>90</v>
      </c>
      <c r="C151" s="241">
        <v>7.3</v>
      </c>
      <c r="D151" s="241">
        <v>20</v>
      </c>
      <c r="E151" s="241">
        <f t="shared" si="4"/>
        <v>80</v>
      </c>
      <c r="F151" s="241">
        <v>60</v>
      </c>
      <c r="G151" s="241">
        <v>28</v>
      </c>
      <c r="H151" s="241">
        <v>54</v>
      </c>
      <c r="I151" s="241">
        <v>54</v>
      </c>
      <c r="J151" s="241">
        <v>0.3</v>
      </c>
      <c r="K151" s="241">
        <v>0.15</v>
      </c>
      <c r="L151" s="241">
        <v>2.6</v>
      </c>
      <c r="M151" s="241">
        <v>0.1</v>
      </c>
      <c r="N151" s="241">
        <v>0.24</v>
      </c>
    </row>
    <row r="152" spans="1:14" x14ac:dyDescent="0.2">
      <c r="A152" s="240" t="s">
        <v>235</v>
      </c>
      <c r="B152" s="241">
        <v>90</v>
      </c>
      <c r="C152" s="241">
        <v>4.2</v>
      </c>
      <c r="D152" s="241">
        <v>30</v>
      </c>
      <c r="E152" s="241">
        <f t="shared" si="4"/>
        <v>70</v>
      </c>
      <c r="F152" s="241">
        <v>44</v>
      </c>
      <c r="G152" s="241">
        <v>7</v>
      </c>
      <c r="H152" s="241">
        <v>44</v>
      </c>
      <c r="I152" s="241">
        <v>45</v>
      </c>
      <c r="J152" s="241">
        <v>0.18</v>
      </c>
      <c r="K152" s="241">
        <v>0.05</v>
      </c>
      <c r="L152" s="241">
        <v>1.42</v>
      </c>
      <c r="M152" s="241">
        <v>0.19</v>
      </c>
      <c r="N152" s="241">
        <v>0.12</v>
      </c>
    </row>
    <row r="153" spans="1:14" x14ac:dyDescent="0.2">
      <c r="A153" s="240" t="s">
        <v>234</v>
      </c>
      <c r="B153" s="241">
        <v>92</v>
      </c>
      <c r="C153" s="241">
        <v>48</v>
      </c>
      <c r="D153" s="241">
        <v>70</v>
      </c>
      <c r="E153" s="241">
        <f t="shared" si="4"/>
        <v>30</v>
      </c>
      <c r="F153" s="241">
        <v>0</v>
      </c>
      <c r="G153" s="241">
        <v>0</v>
      </c>
      <c r="H153" s="241">
        <v>0</v>
      </c>
      <c r="I153" s="241">
        <v>90</v>
      </c>
      <c r="J153" s="241">
        <v>0</v>
      </c>
      <c r="K153" s="241">
        <v>0</v>
      </c>
      <c r="L153" s="241">
        <v>0</v>
      </c>
      <c r="M153" s="241">
        <v>0</v>
      </c>
      <c r="N153" s="241">
        <v>0</v>
      </c>
    </row>
    <row r="154" spans="1:14" ht="15" x14ac:dyDescent="0.2">
      <c r="A154" s="242" t="s">
        <v>233</v>
      </c>
    </row>
    <row r="155" spans="1:14" x14ac:dyDescent="0.2">
      <c r="A155" s="240" t="s">
        <v>232</v>
      </c>
      <c r="B155" s="241">
        <v>50</v>
      </c>
      <c r="C155" s="241">
        <v>21.5</v>
      </c>
      <c r="D155" s="241">
        <v>10</v>
      </c>
      <c r="E155" s="241">
        <f t="shared" ref="E155:E180" si="5">100-D155</f>
        <v>90</v>
      </c>
      <c r="F155" s="241">
        <v>70</v>
      </c>
      <c r="G155" s="241">
        <v>36</v>
      </c>
      <c r="H155" s="241">
        <v>63</v>
      </c>
      <c r="I155" s="241">
        <v>63</v>
      </c>
      <c r="J155" s="241">
        <v>1.72</v>
      </c>
      <c r="K155" s="241">
        <v>0.3</v>
      </c>
      <c r="L155" s="241">
        <v>2.7</v>
      </c>
      <c r="M155" s="241">
        <v>0.28999999999999998</v>
      </c>
      <c r="N155" s="241">
        <v>0.78</v>
      </c>
    </row>
    <row r="156" spans="1:14" x14ac:dyDescent="0.2">
      <c r="A156" s="240" t="s">
        <v>231</v>
      </c>
      <c r="B156" s="241">
        <v>50</v>
      </c>
      <c r="C156" s="241">
        <v>18.399999999999999</v>
      </c>
      <c r="D156" s="241">
        <v>15</v>
      </c>
      <c r="E156" s="241">
        <f t="shared" si="5"/>
        <v>85</v>
      </c>
      <c r="F156" s="241">
        <v>64</v>
      </c>
      <c r="G156" s="241">
        <v>34</v>
      </c>
      <c r="H156" s="241">
        <v>60</v>
      </c>
      <c r="I156" s="241">
        <v>60</v>
      </c>
      <c r="J156" s="241">
        <v>1.4</v>
      </c>
      <c r="K156" s="241">
        <v>0.23</v>
      </c>
      <c r="L156" s="241">
        <v>2.52</v>
      </c>
      <c r="M156" s="241">
        <v>0.28999999999999998</v>
      </c>
      <c r="N156" s="241">
        <v>0.33</v>
      </c>
    </row>
    <row r="157" spans="1:14" x14ac:dyDescent="0.2">
      <c r="A157" s="240" t="s">
        <v>230</v>
      </c>
      <c r="B157" s="241">
        <v>35</v>
      </c>
      <c r="C157" s="241">
        <v>21.5</v>
      </c>
      <c r="D157" s="241">
        <v>10</v>
      </c>
      <c r="E157" s="241">
        <f t="shared" si="5"/>
        <v>90</v>
      </c>
      <c r="F157" s="241">
        <v>70</v>
      </c>
      <c r="G157" s="241">
        <v>36</v>
      </c>
      <c r="H157" s="241">
        <v>63</v>
      </c>
      <c r="I157" s="241">
        <v>63</v>
      </c>
      <c r="J157" s="241">
        <v>1.72</v>
      </c>
      <c r="K157" s="241">
        <v>0.3</v>
      </c>
      <c r="L157" s="241">
        <v>2.7</v>
      </c>
      <c r="M157" s="241">
        <v>0.28999999999999998</v>
      </c>
      <c r="N157" s="241">
        <v>0.78</v>
      </c>
    </row>
    <row r="158" spans="1:14" x14ac:dyDescent="0.2">
      <c r="A158" s="240" t="s">
        <v>229</v>
      </c>
      <c r="B158" s="241">
        <v>35</v>
      </c>
      <c r="C158" s="241">
        <v>18.399999999999999</v>
      </c>
      <c r="D158" s="241">
        <v>15</v>
      </c>
      <c r="E158" s="241">
        <f t="shared" si="5"/>
        <v>85</v>
      </c>
      <c r="F158" s="241">
        <v>64</v>
      </c>
      <c r="G158" s="241">
        <v>34</v>
      </c>
      <c r="H158" s="241">
        <v>60</v>
      </c>
      <c r="I158" s="241">
        <v>60</v>
      </c>
      <c r="J158" s="241">
        <v>1.4</v>
      </c>
      <c r="K158" s="241">
        <v>0.22</v>
      </c>
      <c r="L158" s="241">
        <v>2.52</v>
      </c>
      <c r="M158" s="241">
        <v>0.28999999999999998</v>
      </c>
      <c r="N158" s="241">
        <v>0.33</v>
      </c>
    </row>
    <row r="159" spans="1:14" x14ac:dyDescent="0.2">
      <c r="A159" s="240" t="s">
        <v>228</v>
      </c>
      <c r="B159" s="241">
        <v>35</v>
      </c>
      <c r="C159" s="241">
        <v>15.9</v>
      </c>
      <c r="D159" s="241">
        <v>20</v>
      </c>
      <c r="E159" s="241">
        <f t="shared" si="5"/>
        <v>80</v>
      </c>
      <c r="F159" s="241">
        <v>57</v>
      </c>
      <c r="G159" s="241">
        <v>30</v>
      </c>
      <c r="H159" s="241">
        <v>56</v>
      </c>
      <c r="I159" s="241">
        <v>57</v>
      </c>
      <c r="J159" s="241">
        <v>1.35</v>
      </c>
      <c r="K159" s="241">
        <v>0.2</v>
      </c>
      <c r="L159" s="241">
        <v>1.7</v>
      </c>
      <c r="M159" s="241">
        <v>0.27</v>
      </c>
      <c r="N159" s="241">
        <v>0.35</v>
      </c>
    </row>
    <row r="160" spans="1:14" x14ac:dyDescent="0.2">
      <c r="A160" s="240" t="s">
        <v>227</v>
      </c>
      <c r="B160" s="241">
        <v>35</v>
      </c>
      <c r="C160" s="241">
        <v>13.5</v>
      </c>
      <c r="D160" s="241">
        <v>30</v>
      </c>
      <c r="E160" s="241">
        <f t="shared" si="5"/>
        <v>70</v>
      </c>
      <c r="F160" s="241">
        <v>52</v>
      </c>
      <c r="G160" s="241">
        <v>24</v>
      </c>
      <c r="H160" s="241">
        <v>50</v>
      </c>
      <c r="I160" s="241">
        <v>51</v>
      </c>
      <c r="J160" s="241">
        <v>1.26</v>
      </c>
      <c r="K160" s="241">
        <v>0.17</v>
      </c>
      <c r="L160" s="241">
        <v>1.6</v>
      </c>
      <c r="M160" s="241">
        <v>0.2</v>
      </c>
      <c r="N160" s="241">
        <v>0.28999999999999998</v>
      </c>
    </row>
    <row r="161" spans="1:14" x14ac:dyDescent="0.2">
      <c r="A161" s="240" t="s">
        <v>226</v>
      </c>
      <c r="B161" s="241">
        <v>35</v>
      </c>
      <c r="C161" s="241">
        <v>16.2</v>
      </c>
      <c r="D161" s="241">
        <v>20</v>
      </c>
      <c r="E161" s="241">
        <f t="shared" si="5"/>
        <v>80</v>
      </c>
      <c r="F161" s="241">
        <v>55</v>
      </c>
      <c r="G161" s="241">
        <v>27</v>
      </c>
      <c r="H161" s="241">
        <v>52</v>
      </c>
      <c r="I161" s="241">
        <v>56</v>
      </c>
      <c r="J161" s="241">
        <v>1.03</v>
      </c>
      <c r="K161" s="241">
        <v>0.3</v>
      </c>
      <c r="L161" s="241">
        <v>1.85</v>
      </c>
      <c r="M161" s="241">
        <v>0.23</v>
      </c>
      <c r="N161" s="241">
        <v>0.54</v>
      </c>
    </row>
    <row r="162" spans="1:14" x14ac:dyDescent="0.2">
      <c r="A162" s="240" t="s">
        <v>225</v>
      </c>
      <c r="B162" s="241">
        <v>20</v>
      </c>
      <c r="C162" s="241">
        <v>10</v>
      </c>
      <c r="D162" s="241">
        <v>20</v>
      </c>
      <c r="E162" s="241">
        <f t="shared" si="5"/>
        <v>80</v>
      </c>
      <c r="F162" s="241">
        <v>68</v>
      </c>
      <c r="G162" s="241">
        <v>40</v>
      </c>
      <c r="H162" s="241">
        <v>66</v>
      </c>
      <c r="I162" s="241">
        <v>65</v>
      </c>
      <c r="J162" s="241">
        <v>2.5</v>
      </c>
      <c r="K162" s="241">
        <v>0.2</v>
      </c>
      <c r="L162" s="241">
        <v>2</v>
      </c>
      <c r="M162" s="241">
        <v>0.5</v>
      </c>
      <c r="N162" s="241">
        <v>0.6</v>
      </c>
    </row>
    <row r="163" spans="1:14" x14ac:dyDescent="0.2">
      <c r="A163" s="240" t="s">
        <v>224</v>
      </c>
      <c r="B163" s="241">
        <v>32</v>
      </c>
      <c r="C163" s="241">
        <v>11.9</v>
      </c>
      <c r="D163" s="241">
        <v>20</v>
      </c>
      <c r="E163" s="241">
        <f t="shared" si="5"/>
        <v>80</v>
      </c>
      <c r="F163" s="241">
        <v>54</v>
      </c>
      <c r="G163" s="241">
        <v>20</v>
      </c>
      <c r="H163" s="241">
        <v>45</v>
      </c>
      <c r="I163" s="241">
        <v>51</v>
      </c>
      <c r="J163" s="241">
        <v>1.56</v>
      </c>
      <c r="K163" s="241">
        <v>0.22</v>
      </c>
      <c r="L163" s="241">
        <v>2.63</v>
      </c>
      <c r="M163" s="241">
        <v>0.56999999999999995</v>
      </c>
      <c r="N163" s="241">
        <v>0.81</v>
      </c>
    </row>
    <row r="164" spans="1:14" x14ac:dyDescent="0.2">
      <c r="A164" s="240" t="s">
        <v>223</v>
      </c>
      <c r="B164" s="241">
        <v>35</v>
      </c>
      <c r="C164" s="241">
        <v>8</v>
      </c>
      <c r="D164" s="241">
        <v>25</v>
      </c>
      <c r="E164" s="241">
        <f t="shared" si="5"/>
        <v>75</v>
      </c>
      <c r="F164" s="241">
        <v>72</v>
      </c>
      <c r="G164" s="241">
        <v>47</v>
      </c>
      <c r="H164" s="241">
        <v>74</v>
      </c>
      <c r="I164" s="241">
        <v>70</v>
      </c>
      <c r="J164" s="241">
        <v>0.27</v>
      </c>
      <c r="K164" s="241">
        <v>0.2</v>
      </c>
      <c r="L164" s="241">
        <v>1.05</v>
      </c>
      <c r="M164" s="241">
        <v>0.08</v>
      </c>
      <c r="N164" s="241">
        <v>0.28000000000000003</v>
      </c>
    </row>
    <row r="165" spans="1:14" x14ac:dyDescent="0.2">
      <c r="A165" s="240" t="s">
        <v>222</v>
      </c>
      <c r="B165" s="241">
        <v>35</v>
      </c>
      <c r="C165" s="241">
        <v>11.1</v>
      </c>
      <c r="D165" s="241">
        <v>25</v>
      </c>
      <c r="E165" s="241">
        <f t="shared" si="5"/>
        <v>75</v>
      </c>
      <c r="F165" s="241">
        <v>67</v>
      </c>
      <c r="G165" s="241">
        <v>40</v>
      </c>
      <c r="H165" s="241">
        <v>67</v>
      </c>
      <c r="I165" s="241">
        <v>61</v>
      </c>
      <c r="J165" s="241">
        <v>0.34</v>
      </c>
      <c r="K165" s="241">
        <v>0.2</v>
      </c>
      <c r="L165" s="241">
        <v>1.05</v>
      </c>
      <c r="M165" s="241">
        <v>0.08</v>
      </c>
      <c r="N165" s="241">
        <v>0.28000000000000003</v>
      </c>
    </row>
    <row r="166" spans="1:14" x14ac:dyDescent="0.2">
      <c r="A166" s="240" t="s">
        <v>221</v>
      </c>
      <c r="B166" s="241">
        <v>35</v>
      </c>
      <c r="C166" s="241">
        <v>11.8</v>
      </c>
      <c r="D166" s="241">
        <v>20</v>
      </c>
      <c r="E166" s="241">
        <f t="shared" si="5"/>
        <v>80</v>
      </c>
      <c r="F166" s="241">
        <v>50</v>
      </c>
      <c r="G166" s="241">
        <v>30</v>
      </c>
      <c r="H166" s="241">
        <v>56</v>
      </c>
      <c r="I166" s="241">
        <v>52</v>
      </c>
      <c r="J166" s="241">
        <v>0.78</v>
      </c>
      <c r="K166" s="241">
        <v>0.28000000000000003</v>
      </c>
      <c r="L166" s="241">
        <v>1.3</v>
      </c>
      <c r="M166" s="241">
        <v>0.23</v>
      </c>
      <c r="N166" s="241">
        <v>0.2</v>
      </c>
    </row>
    <row r="167" spans="1:14" x14ac:dyDescent="0.2">
      <c r="A167" s="240" t="s">
        <v>220</v>
      </c>
      <c r="B167" s="241">
        <v>25</v>
      </c>
      <c r="C167" s="241">
        <v>7.6</v>
      </c>
      <c r="D167" s="241">
        <v>20</v>
      </c>
      <c r="E167" s="241">
        <f t="shared" si="5"/>
        <v>80</v>
      </c>
      <c r="F167" s="241">
        <v>86</v>
      </c>
      <c r="G167" s="241">
        <v>61</v>
      </c>
      <c r="H167" s="241">
        <v>91</v>
      </c>
      <c r="I167" s="241">
        <v>82</v>
      </c>
      <c r="J167" s="241">
        <v>0.04</v>
      </c>
      <c r="K167" s="241">
        <v>0.23</v>
      </c>
      <c r="L167" s="241">
        <v>0.71</v>
      </c>
      <c r="M167" s="241">
        <v>0.09</v>
      </c>
      <c r="N167" s="241">
        <v>0.04</v>
      </c>
    </row>
    <row r="168" spans="1:14" x14ac:dyDescent="0.2">
      <c r="A168" s="240" t="s">
        <v>219</v>
      </c>
      <c r="B168" s="241">
        <v>35</v>
      </c>
      <c r="C168" s="241">
        <v>9.5</v>
      </c>
      <c r="D168" s="241">
        <v>15</v>
      </c>
      <c r="E168" s="241">
        <f t="shared" si="5"/>
        <v>85</v>
      </c>
      <c r="F168" s="241">
        <v>57</v>
      </c>
      <c r="G168" s="241">
        <v>31</v>
      </c>
      <c r="H168" s="241">
        <v>58</v>
      </c>
      <c r="I168" s="241">
        <v>59</v>
      </c>
      <c r="J168" s="241">
        <v>0.35</v>
      </c>
      <c r="K168" s="241">
        <v>0.21</v>
      </c>
      <c r="L168" s="241">
        <v>1.5</v>
      </c>
      <c r="M168" s="241">
        <v>0.12</v>
      </c>
      <c r="N168" s="241">
        <v>0.26</v>
      </c>
    </row>
    <row r="169" spans="1:14" x14ac:dyDescent="0.2">
      <c r="A169" s="240" t="s">
        <v>218</v>
      </c>
      <c r="B169" s="241">
        <v>35</v>
      </c>
      <c r="C169" s="241">
        <v>7.5</v>
      </c>
      <c r="D169" s="241">
        <v>20</v>
      </c>
      <c r="E169" s="241">
        <f t="shared" si="5"/>
        <v>80</v>
      </c>
      <c r="F169" s="241">
        <v>57</v>
      </c>
      <c r="G169" s="241">
        <v>32</v>
      </c>
      <c r="H169" s="241">
        <v>58</v>
      </c>
      <c r="I169" s="241">
        <v>59</v>
      </c>
      <c r="J169" s="241">
        <v>0.35</v>
      </c>
      <c r="K169" s="241">
        <v>0.21</v>
      </c>
      <c r="L169" s="241">
        <v>1.25</v>
      </c>
      <c r="M169" s="241">
        <v>0.12</v>
      </c>
      <c r="N169" s="241">
        <v>0.26</v>
      </c>
    </row>
    <row r="170" spans="1:14" x14ac:dyDescent="0.2">
      <c r="A170" s="240" t="s">
        <v>217</v>
      </c>
      <c r="B170" s="241">
        <v>40</v>
      </c>
      <c r="C170" s="241">
        <v>8</v>
      </c>
      <c r="D170" s="241">
        <v>20</v>
      </c>
      <c r="E170" s="241">
        <f t="shared" si="5"/>
        <v>80</v>
      </c>
      <c r="F170" s="241">
        <v>60</v>
      </c>
      <c r="G170" s="241">
        <v>37</v>
      </c>
      <c r="H170" s="241">
        <v>63</v>
      </c>
      <c r="I170" s="241">
        <v>65</v>
      </c>
      <c r="J170" s="241">
        <v>0.33</v>
      </c>
      <c r="K170" s="241">
        <v>0.22</v>
      </c>
      <c r="L170" s="241">
        <v>0.97</v>
      </c>
      <c r="M170" s="241">
        <v>0.17</v>
      </c>
      <c r="N170" s="241">
        <v>0.26</v>
      </c>
    </row>
    <row r="171" spans="1:14" x14ac:dyDescent="0.2">
      <c r="A171" s="240" t="s">
        <v>216</v>
      </c>
      <c r="B171" s="241">
        <v>30</v>
      </c>
      <c r="C171" s="241">
        <v>11.3</v>
      </c>
      <c r="D171" s="241">
        <v>20</v>
      </c>
      <c r="E171" s="241">
        <f t="shared" si="5"/>
        <v>80</v>
      </c>
      <c r="F171" s="241">
        <v>63</v>
      </c>
      <c r="G171" s="241">
        <v>22</v>
      </c>
      <c r="H171" s="241">
        <v>56</v>
      </c>
      <c r="I171" s="241">
        <v>55</v>
      </c>
      <c r="J171" s="241">
        <v>1.72</v>
      </c>
      <c r="K171" s="241">
        <v>0.2</v>
      </c>
      <c r="L171" s="241">
        <v>2.92</v>
      </c>
      <c r="M171" s="241">
        <v>0.01</v>
      </c>
      <c r="N171" s="241">
        <v>0.09</v>
      </c>
    </row>
    <row r="172" spans="1:14" x14ac:dyDescent="0.2">
      <c r="A172" s="240" t="s">
        <v>215</v>
      </c>
      <c r="B172" s="241">
        <v>30</v>
      </c>
      <c r="C172" s="241">
        <v>8.1</v>
      </c>
      <c r="D172" s="241">
        <v>20</v>
      </c>
      <c r="E172" s="241">
        <f t="shared" si="5"/>
        <v>80</v>
      </c>
      <c r="F172" s="241">
        <v>56</v>
      </c>
      <c r="G172" s="241">
        <v>38</v>
      </c>
      <c r="H172" s="241">
        <v>62</v>
      </c>
      <c r="I172" s="241">
        <v>58</v>
      </c>
      <c r="J172" s="241">
        <v>0.35</v>
      </c>
      <c r="K172" s="241">
        <v>0.2</v>
      </c>
      <c r="L172" s="241">
        <v>1.22</v>
      </c>
      <c r="M172" s="241">
        <v>0.1</v>
      </c>
      <c r="N172" s="241">
        <v>0.27</v>
      </c>
    </row>
    <row r="173" spans="1:14" x14ac:dyDescent="0.2">
      <c r="A173" s="240" t="s">
        <v>214</v>
      </c>
      <c r="B173" s="241">
        <v>25</v>
      </c>
      <c r="C173" s="241">
        <v>16.8</v>
      </c>
      <c r="D173" s="241">
        <v>10</v>
      </c>
      <c r="E173" s="241">
        <f t="shared" si="5"/>
        <v>90</v>
      </c>
      <c r="F173" s="241">
        <v>72</v>
      </c>
      <c r="G173" s="241">
        <v>32</v>
      </c>
      <c r="H173" s="241">
        <v>58</v>
      </c>
      <c r="I173" s="241">
        <v>59</v>
      </c>
      <c r="J173" s="241">
        <v>0.43</v>
      </c>
      <c r="K173" s="241">
        <v>0.19</v>
      </c>
      <c r="L173" s="241">
        <v>3.07</v>
      </c>
      <c r="M173" s="241">
        <v>0.06</v>
      </c>
      <c r="N173" s="241">
        <v>0.49</v>
      </c>
    </row>
    <row r="174" spans="1:14" x14ac:dyDescent="0.2">
      <c r="A174" s="240" t="s">
        <v>213</v>
      </c>
      <c r="B174" s="241">
        <v>28</v>
      </c>
      <c r="C174" s="241">
        <v>11.3</v>
      </c>
      <c r="D174" s="241">
        <v>15</v>
      </c>
      <c r="E174" s="241">
        <f t="shared" si="5"/>
        <v>85</v>
      </c>
      <c r="F174" s="241">
        <v>64</v>
      </c>
      <c r="G174" s="241">
        <v>28</v>
      </c>
      <c r="H174" s="241">
        <v>55</v>
      </c>
      <c r="I174" s="241">
        <v>55</v>
      </c>
      <c r="J174" s="241">
        <v>0.46</v>
      </c>
      <c r="K174" s="241">
        <v>0.19</v>
      </c>
      <c r="L174" s="241">
        <v>2.25</v>
      </c>
      <c r="M174" s="241">
        <v>0.06</v>
      </c>
      <c r="N174" s="241">
        <v>0.49</v>
      </c>
    </row>
    <row r="175" spans="1:14" x14ac:dyDescent="0.2">
      <c r="A175" s="240" t="s">
        <v>212</v>
      </c>
      <c r="B175" s="241">
        <v>30</v>
      </c>
      <c r="C175" s="241">
        <v>6</v>
      </c>
      <c r="D175" s="241">
        <v>20</v>
      </c>
      <c r="E175" s="241">
        <f t="shared" si="5"/>
        <v>80</v>
      </c>
      <c r="F175" s="241">
        <v>56</v>
      </c>
      <c r="G175" s="241">
        <v>24</v>
      </c>
      <c r="H175" s="241">
        <v>52</v>
      </c>
      <c r="I175" s="241">
        <v>48</v>
      </c>
      <c r="J175" s="241">
        <v>0.26</v>
      </c>
      <c r="K175" s="241">
        <v>0.14000000000000001</v>
      </c>
      <c r="L175" s="241">
        <v>1.54</v>
      </c>
      <c r="M175" s="241">
        <v>0.06</v>
      </c>
      <c r="N175" s="241">
        <v>0.49</v>
      </c>
    </row>
    <row r="176" spans="1:14" x14ac:dyDescent="0.2">
      <c r="A176" s="240" t="s">
        <v>211</v>
      </c>
      <c r="B176" s="241">
        <v>25</v>
      </c>
      <c r="C176" s="241">
        <v>8.6999999999999993</v>
      </c>
      <c r="D176" s="241">
        <v>20</v>
      </c>
      <c r="E176" s="241">
        <f t="shared" si="5"/>
        <v>80</v>
      </c>
      <c r="F176" s="241">
        <v>56</v>
      </c>
      <c r="G176" s="241">
        <v>28</v>
      </c>
      <c r="H176" s="241">
        <v>56</v>
      </c>
      <c r="I176" s="241">
        <v>49</v>
      </c>
      <c r="J176" s="241">
        <v>0.6</v>
      </c>
      <c r="K176" s="241">
        <v>0.23</v>
      </c>
      <c r="L176" s="241">
        <v>1.54</v>
      </c>
      <c r="M176" s="241">
        <v>0.06</v>
      </c>
      <c r="N176" s="241">
        <v>0.49</v>
      </c>
    </row>
    <row r="177" spans="1:14" x14ac:dyDescent="0.2">
      <c r="A177" s="240" t="s">
        <v>210</v>
      </c>
      <c r="B177" s="241">
        <v>27</v>
      </c>
      <c r="C177" s="241">
        <v>17.8</v>
      </c>
      <c r="D177" s="241">
        <v>15</v>
      </c>
      <c r="E177" s="241">
        <f t="shared" si="5"/>
        <v>85</v>
      </c>
      <c r="F177" s="241">
        <v>60</v>
      </c>
      <c r="G177" s="241">
        <v>34</v>
      </c>
      <c r="H177" s="241">
        <v>60</v>
      </c>
      <c r="I177" s="241">
        <v>60</v>
      </c>
      <c r="J177" s="241">
        <v>1.45</v>
      </c>
      <c r="K177" s="241">
        <v>0.24</v>
      </c>
      <c r="L177" s="241">
        <v>1.9</v>
      </c>
      <c r="M177" s="241">
        <v>0.49</v>
      </c>
      <c r="N177" s="241">
        <v>0.25</v>
      </c>
    </row>
    <row r="178" spans="1:14" x14ac:dyDescent="0.2">
      <c r="A178" s="240" t="s">
        <v>209</v>
      </c>
      <c r="B178" s="241">
        <v>30</v>
      </c>
      <c r="C178" s="241">
        <v>16</v>
      </c>
      <c r="D178" s="241">
        <v>20</v>
      </c>
      <c r="E178" s="241">
        <f t="shared" si="5"/>
        <v>80</v>
      </c>
      <c r="F178" s="241">
        <v>58</v>
      </c>
      <c r="G178" s="241">
        <v>28</v>
      </c>
      <c r="H178" s="241">
        <v>56</v>
      </c>
      <c r="I178" s="241">
        <v>55</v>
      </c>
      <c r="J178" s="241">
        <v>1.4</v>
      </c>
      <c r="K178" s="241">
        <v>0.21</v>
      </c>
      <c r="L178" s="241">
        <v>1.84</v>
      </c>
      <c r="M178" s="241">
        <v>0.49</v>
      </c>
      <c r="N178" s="241">
        <v>0.33</v>
      </c>
    </row>
    <row r="179" spans="1:14" x14ac:dyDescent="0.2">
      <c r="A179" s="240" t="s">
        <v>208</v>
      </c>
      <c r="B179" s="241">
        <v>8</v>
      </c>
      <c r="C179" s="241">
        <v>11.8</v>
      </c>
      <c r="D179" s="241">
        <v>20</v>
      </c>
      <c r="E179" s="241">
        <f t="shared" si="5"/>
        <v>80</v>
      </c>
      <c r="F179" s="241">
        <v>89</v>
      </c>
      <c r="G179" s="241">
        <v>65</v>
      </c>
      <c r="H179" s="241">
        <v>95</v>
      </c>
      <c r="I179" s="241">
        <v>85</v>
      </c>
      <c r="J179" s="241">
        <v>1.3</v>
      </c>
      <c r="K179" s="241">
        <v>0.32</v>
      </c>
      <c r="L179" s="241">
        <v>3.2</v>
      </c>
      <c r="M179" s="241">
        <v>0.43</v>
      </c>
      <c r="N179" s="241">
        <v>0.28999999999999998</v>
      </c>
    </row>
    <row r="180" spans="1:14" x14ac:dyDescent="0.2">
      <c r="A180" s="240" t="s">
        <v>207</v>
      </c>
      <c r="B180" s="241">
        <v>10</v>
      </c>
      <c r="C180" s="241">
        <v>16</v>
      </c>
      <c r="D180" s="241">
        <v>20</v>
      </c>
      <c r="E180" s="241">
        <f t="shared" si="5"/>
        <v>80</v>
      </c>
      <c r="F180" s="241">
        <v>70</v>
      </c>
      <c r="G180" s="241">
        <v>31</v>
      </c>
      <c r="H180" s="241">
        <v>57</v>
      </c>
      <c r="I180" s="241">
        <v>58</v>
      </c>
      <c r="J180" s="241">
        <v>2.9</v>
      </c>
      <c r="K180" s="241">
        <v>0.57999999999999996</v>
      </c>
      <c r="L180" s="241">
        <v>3.8</v>
      </c>
      <c r="M180" s="241">
        <v>0.43</v>
      </c>
      <c r="N180" s="241">
        <v>0.47</v>
      </c>
    </row>
    <row r="181" spans="1:14" ht="15" x14ac:dyDescent="0.2">
      <c r="A181" s="242" t="s">
        <v>206</v>
      </c>
    </row>
    <row r="182" spans="1:14" x14ac:dyDescent="0.2">
      <c r="A182" s="240" t="s">
        <v>205</v>
      </c>
      <c r="B182" s="241">
        <v>20</v>
      </c>
      <c r="C182" s="241">
        <v>13.7</v>
      </c>
      <c r="D182" s="241">
        <v>23</v>
      </c>
      <c r="E182" s="241">
        <f>100-D182</f>
        <v>77</v>
      </c>
      <c r="F182" s="241">
        <v>63</v>
      </c>
      <c r="G182" s="241">
        <v>34.9</v>
      </c>
      <c r="H182" s="241">
        <v>60.8</v>
      </c>
      <c r="I182" s="241">
        <v>61</v>
      </c>
      <c r="J182" s="241">
        <v>0.33</v>
      </c>
      <c r="K182" s="241">
        <v>0.19</v>
      </c>
      <c r="L182" s="241">
        <v>1.54</v>
      </c>
      <c r="M182" s="241">
        <v>0.16</v>
      </c>
      <c r="N182" s="241">
        <v>0.23</v>
      </c>
    </row>
    <row r="183" spans="1:14" x14ac:dyDescent="0.2">
      <c r="A183" s="240" t="s">
        <v>204</v>
      </c>
      <c r="B183" s="241">
        <v>20</v>
      </c>
      <c r="C183" s="241">
        <v>9.9</v>
      </c>
      <c r="D183" s="241">
        <v>19</v>
      </c>
      <c r="E183" s="241">
        <f>100-D183</f>
        <v>81</v>
      </c>
      <c r="F183" s="241">
        <v>63</v>
      </c>
      <c r="G183" s="241">
        <v>34.9</v>
      </c>
      <c r="H183" s="241">
        <v>60.8</v>
      </c>
      <c r="I183" s="241">
        <v>61</v>
      </c>
      <c r="J183" s="241">
        <v>0.33</v>
      </c>
      <c r="K183" s="241">
        <v>0.19</v>
      </c>
      <c r="L183" s="241">
        <v>1.54</v>
      </c>
      <c r="M183" s="241">
        <v>0.16</v>
      </c>
      <c r="N183" s="241">
        <v>0.23</v>
      </c>
    </row>
    <row r="184" spans="1:14" x14ac:dyDescent="0.2">
      <c r="A184" s="240" t="s">
        <v>203</v>
      </c>
      <c r="B184" s="241">
        <v>20</v>
      </c>
      <c r="C184" s="241">
        <v>17</v>
      </c>
      <c r="D184" s="241">
        <v>28</v>
      </c>
      <c r="E184" s="241">
        <f>100-D184</f>
        <v>72</v>
      </c>
      <c r="F184" s="241">
        <v>72</v>
      </c>
      <c r="G184" s="241">
        <v>32</v>
      </c>
      <c r="H184" s="241">
        <v>58</v>
      </c>
      <c r="I184" s="241">
        <v>59</v>
      </c>
      <c r="J184" s="241">
        <v>0.43</v>
      </c>
      <c r="K184" s="241">
        <v>0.19</v>
      </c>
      <c r="L184" s="241">
        <v>3.07</v>
      </c>
      <c r="M184" s="241">
        <v>0.06</v>
      </c>
      <c r="N184" s="241">
        <v>0.49</v>
      </c>
    </row>
    <row r="185" spans="1:14" x14ac:dyDescent="0.2">
      <c r="A185" s="240" t="s">
        <v>202</v>
      </c>
      <c r="B185" s="241">
        <v>20</v>
      </c>
      <c r="C185" s="241">
        <v>7.2</v>
      </c>
      <c r="D185" s="241">
        <v>26</v>
      </c>
      <c r="E185" s="241">
        <f>100-D185</f>
        <v>74</v>
      </c>
      <c r="F185" s="241">
        <v>72</v>
      </c>
      <c r="G185" s="241">
        <v>32</v>
      </c>
      <c r="H185" s="241">
        <v>58</v>
      </c>
      <c r="I185" s="241">
        <v>59</v>
      </c>
      <c r="J185" s="241">
        <v>0.43</v>
      </c>
      <c r="K185" s="241">
        <v>0.19</v>
      </c>
      <c r="L185" s="241">
        <v>3.07</v>
      </c>
      <c r="M185" s="241">
        <v>0.06</v>
      </c>
      <c r="N185" s="241">
        <v>0.49</v>
      </c>
    </row>
    <row r="186" spans="1:14" x14ac:dyDescent="0.2">
      <c r="A186" s="240" t="s">
        <v>201</v>
      </c>
      <c r="B186" s="241">
        <v>20</v>
      </c>
      <c r="C186" s="241">
        <v>28.6</v>
      </c>
      <c r="D186" s="241">
        <v>10</v>
      </c>
      <c r="E186" s="241">
        <f>100-D186</f>
        <v>90</v>
      </c>
      <c r="F186" s="241">
        <v>76</v>
      </c>
      <c r="G186" s="241">
        <v>50.3</v>
      </c>
      <c r="H186" s="241">
        <v>78.5</v>
      </c>
      <c r="I186" s="241">
        <v>73</v>
      </c>
      <c r="J186" s="241">
        <v>0.42</v>
      </c>
      <c r="K186" s="241">
        <v>0.4</v>
      </c>
      <c r="L186" s="241">
        <v>3.5</v>
      </c>
      <c r="M186" s="241">
        <v>0.22</v>
      </c>
      <c r="N186" s="241">
        <v>0.21</v>
      </c>
    </row>
    <row r="187" spans="1:14" ht="15" x14ac:dyDescent="0.2">
      <c r="A187" s="242" t="s">
        <v>200</v>
      </c>
    </row>
    <row r="188" spans="1:14" x14ac:dyDescent="0.2">
      <c r="A188" s="240" t="s">
        <v>199</v>
      </c>
      <c r="B188" s="241">
        <v>20</v>
      </c>
      <c r="C188" s="241">
        <v>21.7</v>
      </c>
      <c r="D188" s="241">
        <v>5</v>
      </c>
      <c r="E188" s="241">
        <f t="shared" ref="E188:E193" si="6">100-D188</f>
        <v>95</v>
      </c>
      <c r="F188" s="241">
        <v>70</v>
      </c>
      <c r="G188" s="241">
        <v>32</v>
      </c>
      <c r="H188" s="241">
        <v>58</v>
      </c>
      <c r="I188" s="241">
        <v>63</v>
      </c>
      <c r="J188" s="241">
        <v>0.59</v>
      </c>
      <c r="K188" s="241">
        <v>0.32</v>
      </c>
      <c r="L188" s="241">
        <v>2.3199999999999998</v>
      </c>
      <c r="M188" s="241">
        <v>0.2</v>
      </c>
      <c r="N188" s="241">
        <v>0.09</v>
      </c>
    </row>
    <row r="189" spans="1:14" x14ac:dyDescent="0.2">
      <c r="A189" s="240" t="s">
        <v>198</v>
      </c>
      <c r="B189" s="241">
        <v>20</v>
      </c>
      <c r="C189" s="241">
        <v>18.8</v>
      </c>
      <c r="D189" s="241">
        <v>5</v>
      </c>
      <c r="E189" s="241">
        <f t="shared" si="6"/>
        <v>95</v>
      </c>
      <c r="F189" s="241">
        <v>64</v>
      </c>
      <c r="G189" s="241">
        <v>25</v>
      </c>
      <c r="H189" s="241">
        <v>50</v>
      </c>
      <c r="I189" s="241">
        <v>53</v>
      </c>
      <c r="J189" s="241">
        <v>0.28999999999999998</v>
      </c>
      <c r="K189" s="241">
        <v>0.28000000000000003</v>
      </c>
      <c r="L189" s="241">
        <v>2</v>
      </c>
      <c r="M189" s="241">
        <v>0.2</v>
      </c>
      <c r="N189" s="241">
        <v>0.09</v>
      </c>
    </row>
    <row r="190" spans="1:14" x14ac:dyDescent="0.2">
      <c r="A190" s="240" t="s">
        <v>197</v>
      </c>
      <c r="B190" s="241">
        <v>20</v>
      </c>
      <c r="C190" s="241">
        <v>17</v>
      </c>
      <c r="D190" s="241">
        <v>6</v>
      </c>
      <c r="E190" s="241">
        <f t="shared" si="6"/>
        <v>94</v>
      </c>
      <c r="F190" s="241">
        <v>46</v>
      </c>
      <c r="G190" s="241">
        <v>21</v>
      </c>
      <c r="H190" s="241">
        <v>46</v>
      </c>
      <c r="I190" s="241">
        <v>50</v>
      </c>
      <c r="J190" s="241">
        <v>0.26</v>
      </c>
      <c r="K190" s="241">
        <v>0.15</v>
      </c>
      <c r="L190" s="241">
        <v>1.9</v>
      </c>
      <c r="M190" s="241">
        <v>0.2</v>
      </c>
      <c r="N190" s="241">
        <v>0.09</v>
      </c>
    </row>
    <row r="191" spans="1:14" x14ac:dyDescent="0.2">
      <c r="A191" s="240" t="s">
        <v>194</v>
      </c>
      <c r="B191" s="241">
        <v>20</v>
      </c>
      <c r="C191" s="241">
        <v>11.3</v>
      </c>
      <c r="D191" s="241">
        <v>27</v>
      </c>
      <c r="E191" s="241">
        <f t="shared" si="6"/>
        <v>73</v>
      </c>
      <c r="F191" s="241">
        <v>60</v>
      </c>
      <c r="G191" s="241">
        <v>27</v>
      </c>
      <c r="H191" s="241">
        <v>52</v>
      </c>
      <c r="I191" s="241">
        <v>53</v>
      </c>
      <c r="J191" s="241">
        <v>0.49</v>
      </c>
      <c r="K191" s="241">
        <v>0.19</v>
      </c>
      <c r="L191" s="241">
        <v>1.08</v>
      </c>
      <c r="M191" s="241">
        <v>0.1</v>
      </c>
      <c r="N191" s="241">
        <v>0.24</v>
      </c>
    </row>
    <row r="192" spans="1:14" x14ac:dyDescent="0.2">
      <c r="A192" s="240" t="s">
        <v>193</v>
      </c>
      <c r="B192" s="241">
        <v>20</v>
      </c>
      <c r="C192" s="241">
        <v>10.6</v>
      </c>
      <c r="D192" s="241">
        <v>28</v>
      </c>
      <c r="E192" s="241">
        <f t="shared" si="6"/>
        <v>72</v>
      </c>
      <c r="F192" s="241">
        <v>56</v>
      </c>
      <c r="G192" s="241">
        <v>20</v>
      </c>
      <c r="H192" s="241">
        <v>45</v>
      </c>
      <c r="I192" s="241">
        <v>50</v>
      </c>
      <c r="J192" s="241">
        <v>0.38</v>
      </c>
      <c r="K192" s="241">
        <v>0.14000000000000001</v>
      </c>
      <c r="L192" s="241">
        <v>1.08</v>
      </c>
      <c r="M192" s="241">
        <v>0.1</v>
      </c>
      <c r="N192" s="241">
        <v>0.24</v>
      </c>
    </row>
    <row r="193" spans="1:14" x14ac:dyDescent="0.2">
      <c r="A193" s="240" t="s">
        <v>192</v>
      </c>
      <c r="B193" s="241">
        <v>20</v>
      </c>
      <c r="C193" s="241">
        <v>10.9</v>
      </c>
      <c r="D193" s="241">
        <v>28</v>
      </c>
      <c r="E193" s="241">
        <f t="shared" si="6"/>
        <v>72</v>
      </c>
      <c r="F193" s="241">
        <v>50</v>
      </c>
      <c r="G193" s="241">
        <v>20</v>
      </c>
      <c r="H193" s="241">
        <v>46</v>
      </c>
      <c r="I193" s="241">
        <v>46</v>
      </c>
      <c r="J193" s="241">
        <v>0.38</v>
      </c>
      <c r="K193" s="241">
        <v>0.09</v>
      </c>
      <c r="L193" s="241">
        <v>0.79</v>
      </c>
      <c r="M193" s="241">
        <v>0.1</v>
      </c>
      <c r="N193" s="241">
        <v>0.28000000000000003</v>
      </c>
    </row>
    <row r="194" spans="1:14" ht="15" x14ac:dyDescent="0.2">
      <c r="A194" s="242" t="s">
        <v>196</v>
      </c>
    </row>
    <row r="195" spans="1:14" x14ac:dyDescent="0.2">
      <c r="A195" s="240" t="s">
        <v>189</v>
      </c>
      <c r="B195" s="241">
        <v>20</v>
      </c>
      <c r="C195" s="241">
        <v>8.5</v>
      </c>
      <c r="D195" s="241">
        <v>12</v>
      </c>
      <c r="E195" s="241">
        <f t="shared" ref="E195:E202" si="7">100-D195</f>
        <v>88</v>
      </c>
      <c r="F195" s="241">
        <v>70</v>
      </c>
      <c r="G195" s="241">
        <v>32</v>
      </c>
      <c r="H195" s="241">
        <v>58</v>
      </c>
      <c r="I195" s="241">
        <v>63</v>
      </c>
      <c r="J195" s="241">
        <v>0.59</v>
      </c>
      <c r="K195" s="241">
        <v>0.32</v>
      </c>
      <c r="L195" s="241">
        <v>2.3199999999999998</v>
      </c>
      <c r="M195" s="241">
        <v>0.2</v>
      </c>
      <c r="N195" s="241">
        <v>0.09</v>
      </c>
    </row>
    <row r="196" spans="1:14" x14ac:dyDescent="0.2">
      <c r="A196" s="240" t="s">
        <v>188</v>
      </c>
      <c r="B196" s="241">
        <v>20</v>
      </c>
      <c r="C196" s="241">
        <v>6</v>
      </c>
      <c r="D196" s="241">
        <v>17</v>
      </c>
      <c r="E196" s="241">
        <f t="shared" si="7"/>
        <v>83</v>
      </c>
      <c r="F196" s="241">
        <v>64</v>
      </c>
      <c r="G196" s="241">
        <v>25</v>
      </c>
      <c r="H196" s="241">
        <v>50</v>
      </c>
      <c r="I196" s="241">
        <v>53</v>
      </c>
      <c r="J196" s="241">
        <v>0.28999999999999998</v>
      </c>
      <c r="K196" s="241">
        <v>0.28000000000000003</v>
      </c>
      <c r="L196" s="241">
        <v>2</v>
      </c>
      <c r="M196" s="241">
        <v>0.2</v>
      </c>
      <c r="N196" s="241">
        <v>0.09</v>
      </c>
    </row>
    <row r="197" spans="1:14" x14ac:dyDescent="0.2">
      <c r="A197" s="240" t="s">
        <v>187</v>
      </c>
      <c r="B197" s="241">
        <v>20</v>
      </c>
      <c r="C197" s="241">
        <v>7</v>
      </c>
      <c r="D197" s="241">
        <v>14</v>
      </c>
      <c r="E197" s="241">
        <f t="shared" si="7"/>
        <v>86</v>
      </c>
      <c r="F197" s="241">
        <v>46</v>
      </c>
      <c r="G197" s="241">
        <v>21</v>
      </c>
      <c r="H197" s="241">
        <v>46</v>
      </c>
      <c r="I197" s="241">
        <v>50</v>
      </c>
      <c r="J197" s="241">
        <v>0.26</v>
      </c>
      <c r="K197" s="241">
        <v>0.15</v>
      </c>
      <c r="L197" s="241">
        <v>1.9</v>
      </c>
      <c r="M197" s="241">
        <v>0.2</v>
      </c>
      <c r="N197" s="241">
        <v>0.09</v>
      </c>
    </row>
    <row r="198" spans="1:14" x14ac:dyDescent="0.2">
      <c r="A198" s="240" t="s">
        <v>195</v>
      </c>
      <c r="B198" s="241">
        <v>20</v>
      </c>
      <c r="C198" s="241">
        <v>6.5</v>
      </c>
      <c r="D198" s="241">
        <v>15</v>
      </c>
      <c r="E198" s="241">
        <f t="shared" si="7"/>
        <v>85</v>
      </c>
      <c r="F198" s="241">
        <v>64</v>
      </c>
      <c r="G198" s="241">
        <v>25</v>
      </c>
      <c r="H198" s="241">
        <v>50</v>
      </c>
      <c r="I198" s="241">
        <v>53</v>
      </c>
      <c r="J198" s="241">
        <v>0.28999999999999998</v>
      </c>
      <c r="K198" s="241">
        <v>0.28000000000000003</v>
      </c>
      <c r="L198" s="241">
        <v>2</v>
      </c>
      <c r="M198" s="241">
        <v>0.2</v>
      </c>
      <c r="N198" s="241">
        <v>0.09</v>
      </c>
    </row>
    <row r="199" spans="1:14" x14ac:dyDescent="0.2">
      <c r="A199" s="240" t="s">
        <v>194</v>
      </c>
      <c r="B199" s="241">
        <v>20</v>
      </c>
      <c r="C199" s="241">
        <v>9.5</v>
      </c>
      <c r="D199" s="241">
        <v>32</v>
      </c>
      <c r="E199" s="241">
        <f t="shared" si="7"/>
        <v>68</v>
      </c>
      <c r="F199" s="241">
        <v>60</v>
      </c>
      <c r="G199" s="241">
        <v>27</v>
      </c>
      <c r="H199" s="241">
        <v>52</v>
      </c>
      <c r="I199" s="241">
        <v>53</v>
      </c>
      <c r="J199" s="241">
        <v>0.49</v>
      </c>
      <c r="K199" s="241">
        <v>0.19</v>
      </c>
      <c r="L199" s="241">
        <v>1.08</v>
      </c>
      <c r="M199" s="241">
        <v>0.1</v>
      </c>
      <c r="N199" s="241">
        <v>0.24</v>
      </c>
    </row>
    <row r="200" spans="1:14" x14ac:dyDescent="0.2">
      <c r="A200" s="240" t="s">
        <v>193</v>
      </c>
      <c r="B200" s="241">
        <v>20</v>
      </c>
      <c r="C200" s="241">
        <v>7</v>
      </c>
      <c r="D200" s="241">
        <v>43</v>
      </c>
      <c r="E200" s="241">
        <f t="shared" si="7"/>
        <v>57</v>
      </c>
      <c r="F200" s="241">
        <v>56</v>
      </c>
      <c r="G200" s="241">
        <v>20</v>
      </c>
      <c r="H200" s="241">
        <v>45</v>
      </c>
      <c r="I200" s="241">
        <v>50</v>
      </c>
      <c r="J200" s="241">
        <v>0.38</v>
      </c>
      <c r="K200" s="241">
        <v>0.14000000000000001</v>
      </c>
      <c r="L200" s="241">
        <v>1.08</v>
      </c>
      <c r="M200" s="241">
        <v>0.1</v>
      </c>
      <c r="N200" s="241">
        <v>0.24</v>
      </c>
    </row>
    <row r="201" spans="1:14" x14ac:dyDescent="0.2">
      <c r="A201" s="240" t="s">
        <v>192</v>
      </c>
      <c r="B201" s="241">
        <v>20</v>
      </c>
      <c r="C201" s="241">
        <v>7.5</v>
      </c>
      <c r="D201" s="241">
        <v>40</v>
      </c>
      <c r="E201" s="241">
        <f t="shared" si="7"/>
        <v>60</v>
      </c>
      <c r="F201" s="241">
        <v>50</v>
      </c>
      <c r="G201" s="241">
        <v>20</v>
      </c>
      <c r="H201" s="241">
        <v>46</v>
      </c>
      <c r="I201" s="241">
        <v>46</v>
      </c>
      <c r="J201" s="241">
        <v>0.38</v>
      </c>
      <c r="K201" s="241">
        <v>0.09</v>
      </c>
      <c r="L201" s="241">
        <v>0.79</v>
      </c>
      <c r="M201" s="241">
        <v>0.1</v>
      </c>
      <c r="N201" s="241">
        <v>0.28000000000000003</v>
      </c>
    </row>
    <row r="202" spans="1:14" x14ac:dyDescent="0.2">
      <c r="A202" s="240" t="s">
        <v>191</v>
      </c>
      <c r="B202" s="241">
        <v>20</v>
      </c>
      <c r="C202" s="241">
        <v>5</v>
      </c>
      <c r="D202" s="241">
        <v>60</v>
      </c>
      <c r="E202" s="241">
        <f t="shared" si="7"/>
        <v>40</v>
      </c>
      <c r="F202" s="241">
        <v>50</v>
      </c>
      <c r="G202" s="241">
        <v>20</v>
      </c>
      <c r="H202" s="241">
        <v>46</v>
      </c>
      <c r="I202" s="241">
        <v>46</v>
      </c>
      <c r="J202" s="241">
        <v>0.38</v>
      </c>
      <c r="K202" s="241">
        <v>0.09</v>
      </c>
      <c r="L202" s="241">
        <v>0.79</v>
      </c>
      <c r="M202" s="241">
        <v>0.1</v>
      </c>
      <c r="N202" s="241">
        <v>0.28000000000000003</v>
      </c>
    </row>
    <row r="203" spans="1:14" ht="15" x14ac:dyDescent="0.2">
      <c r="A203" s="242" t="s">
        <v>190</v>
      </c>
    </row>
    <row r="204" spans="1:14" x14ac:dyDescent="0.2">
      <c r="A204" s="240" t="s">
        <v>189</v>
      </c>
      <c r="B204" s="241">
        <v>20</v>
      </c>
      <c r="C204" s="241">
        <v>7.5</v>
      </c>
      <c r="D204" s="241">
        <v>13</v>
      </c>
      <c r="E204" s="241">
        <f>100-D204</f>
        <v>87</v>
      </c>
      <c r="F204" s="241">
        <v>70</v>
      </c>
      <c r="G204" s="241">
        <v>32</v>
      </c>
      <c r="H204" s="241">
        <v>58</v>
      </c>
      <c r="I204" s="241">
        <v>63</v>
      </c>
      <c r="J204" s="241">
        <v>0.59</v>
      </c>
      <c r="K204" s="241">
        <v>0.32</v>
      </c>
      <c r="L204" s="241">
        <v>2.3199999999999998</v>
      </c>
      <c r="M204" s="241">
        <v>0.2</v>
      </c>
      <c r="N204" s="241">
        <v>0.09</v>
      </c>
    </row>
    <row r="205" spans="1:14" x14ac:dyDescent="0.2">
      <c r="A205" s="240" t="s">
        <v>188</v>
      </c>
      <c r="B205" s="241">
        <v>20</v>
      </c>
      <c r="C205" s="241">
        <v>5.5</v>
      </c>
      <c r="D205" s="241">
        <v>18</v>
      </c>
      <c r="E205" s="241">
        <f>100-D205</f>
        <v>82</v>
      </c>
      <c r="F205" s="241">
        <v>64</v>
      </c>
      <c r="G205" s="241">
        <v>25</v>
      </c>
      <c r="H205" s="241">
        <v>50</v>
      </c>
      <c r="I205" s="241">
        <v>53</v>
      </c>
      <c r="J205" s="241">
        <v>0.28999999999999998</v>
      </c>
      <c r="K205" s="241">
        <v>0.28000000000000003</v>
      </c>
      <c r="L205" s="241">
        <v>2</v>
      </c>
      <c r="M205" s="241">
        <v>0.2</v>
      </c>
      <c r="N205" s="241">
        <v>0.09</v>
      </c>
    </row>
    <row r="206" spans="1:14" x14ac:dyDescent="0.2">
      <c r="A206" s="240" t="s">
        <v>187</v>
      </c>
      <c r="B206" s="241">
        <v>20</v>
      </c>
      <c r="C206" s="241">
        <v>5.9</v>
      </c>
      <c r="D206" s="241">
        <v>17</v>
      </c>
      <c r="E206" s="241">
        <f>100-D206</f>
        <v>83</v>
      </c>
      <c r="F206" s="241">
        <v>46</v>
      </c>
      <c r="G206" s="241">
        <v>21</v>
      </c>
      <c r="H206" s="241">
        <v>46</v>
      </c>
      <c r="I206" s="241">
        <v>50</v>
      </c>
      <c r="J206" s="241">
        <v>0.26</v>
      </c>
      <c r="K206" s="241">
        <v>0.15</v>
      </c>
      <c r="L206" s="241">
        <v>1.9</v>
      </c>
      <c r="M206" s="241">
        <v>0.2</v>
      </c>
      <c r="N206" s="241">
        <v>0.09</v>
      </c>
    </row>
    <row r="207" spans="1:14" x14ac:dyDescent="0.2">
      <c r="A207" s="240" t="s">
        <v>186</v>
      </c>
      <c r="B207" s="241">
        <v>20</v>
      </c>
      <c r="C207" s="241">
        <v>6.2</v>
      </c>
      <c r="D207" s="241">
        <v>16</v>
      </c>
      <c r="E207" s="241">
        <f>100-D207</f>
        <v>84</v>
      </c>
      <c r="F207" s="241">
        <v>64</v>
      </c>
      <c r="G207" s="241">
        <v>25</v>
      </c>
      <c r="H207" s="241">
        <v>50</v>
      </c>
      <c r="I207" s="241">
        <v>53</v>
      </c>
      <c r="J207" s="241">
        <v>0.26</v>
      </c>
      <c r="K207" s="241">
        <v>0.28000000000000003</v>
      </c>
      <c r="L207" s="241">
        <v>2</v>
      </c>
      <c r="M207" s="241">
        <v>0.2</v>
      </c>
      <c r="N207" s="241">
        <v>0.09</v>
      </c>
    </row>
    <row r="208" spans="1:14" ht="15" x14ac:dyDescent="0.2">
      <c r="A208" s="242" t="s">
        <v>185</v>
      </c>
    </row>
    <row r="209" spans="1:14" x14ac:dyDescent="0.2">
      <c r="A209" s="240" t="s">
        <v>184</v>
      </c>
      <c r="B209" s="241">
        <v>100</v>
      </c>
      <c r="C209" s="241">
        <v>134</v>
      </c>
      <c r="D209" s="241">
        <v>0</v>
      </c>
      <c r="E209" s="241">
        <f>100-D209</f>
        <v>100</v>
      </c>
      <c r="F209" s="241">
        <v>0</v>
      </c>
      <c r="G209" s="241">
        <v>0</v>
      </c>
      <c r="H209" s="241">
        <v>0</v>
      </c>
      <c r="I209" s="241">
        <v>0</v>
      </c>
      <c r="J209" s="241">
        <v>0</v>
      </c>
      <c r="K209" s="241">
        <v>0</v>
      </c>
      <c r="L209" s="241">
        <v>0</v>
      </c>
      <c r="M209" s="241">
        <v>24</v>
      </c>
      <c r="N209" s="241">
        <v>0</v>
      </c>
    </row>
    <row r="210" spans="1:14" x14ac:dyDescent="0.2">
      <c r="A210" s="240" t="s">
        <v>183</v>
      </c>
      <c r="B210" s="241">
        <v>100</v>
      </c>
      <c r="C210" s="241">
        <v>0</v>
      </c>
      <c r="D210" s="241">
        <v>0</v>
      </c>
      <c r="E210" s="241">
        <v>0</v>
      </c>
      <c r="F210" s="241">
        <v>0</v>
      </c>
      <c r="G210" s="241">
        <v>0</v>
      </c>
      <c r="H210" s="241">
        <v>0</v>
      </c>
      <c r="I210" s="241">
        <v>0</v>
      </c>
      <c r="J210" s="241">
        <v>30.5</v>
      </c>
      <c r="K210" s="241">
        <v>14.3</v>
      </c>
      <c r="L210" s="241">
        <v>0</v>
      </c>
      <c r="M210" s="241">
        <v>0</v>
      </c>
      <c r="N210" s="241">
        <v>0</v>
      </c>
    </row>
    <row r="211" spans="1:14" x14ac:dyDescent="0.2">
      <c r="A211" s="240" t="s">
        <v>182</v>
      </c>
      <c r="B211" s="241">
        <v>100</v>
      </c>
      <c r="C211" s="241">
        <v>0</v>
      </c>
      <c r="D211" s="241">
        <v>0</v>
      </c>
      <c r="E211" s="241">
        <v>0</v>
      </c>
      <c r="F211" s="241">
        <v>0</v>
      </c>
      <c r="G211" s="241">
        <v>0</v>
      </c>
      <c r="H211" s="241">
        <v>0</v>
      </c>
      <c r="I211" s="241">
        <v>0</v>
      </c>
      <c r="J211" s="241">
        <v>25.9</v>
      </c>
      <c r="K211" s="241">
        <v>0</v>
      </c>
      <c r="L211" s="241">
        <v>0</v>
      </c>
      <c r="M211" s="241">
        <v>23.5</v>
      </c>
      <c r="N211" s="241">
        <v>2.6</v>
      </c>
    </row>
    <row r="212" spans="1:14" x14ac:dyDescent="0.2">
      <c r="A212" s="240" t="s">
        <v>181</v>
      </c>
      <c r="B212" s="241">
        <v>100</v>
      </c>
      <c r="C212" s="241">
        <v>0</v>
      </c>
      <c r="D212" s="241">
        <v>0</v>
      </c>
      <c r="E212" s="241">
        <v>0</v>
      </c>
      <c r="F212" s="241">
        <v>0</v>
      </c>
      <c r="G212" s="241">
        <v>0</v>
      </c>
      <c r="H212" s="241">
        <v>0</v>
      </c>
      <c r="I212" s="241">
        <v>0</v>
      </c>
      <c r="J212" s="241">
        <v>38</v>
      </c>
      <c r="K212" s="241">
        <v>0</v>
      </c>
      <c r="L212" s="241">
        <v>0</v>
      </c>
      <c r="M212" s="241">
        <v>0</v>
      </c>
      <c r="N212" s="241">
        <v>0</v>
      </c>
    </row>
    <row r="213" spans="1:14" x14ac:dyDescent="0.2">
      <c r="A213" s="240" t="s">
        <v>180</v>
      </c>
      <c r="B213" s="241">
        <v>100</v>
      </c>
      <c r="C213" s="241">
        <v>0</v>
      </c>
      <c r="D213" s="241">
        <v>0</v>
      </c>
      <c r="E213" s="241">
        <v>0</v>
      </c>
      <c r="F213" s="241">
        <v>0</v>
      </c>
      <c r="G213" s="241">
        <v>0</v>
      </c>
      <c r="H213" s="241">
        <v>0</v>
      </c>
      <c r="I213" s="241">
        <v>0</v>
      </c>
      <c r="J213" s="241">
        <v>3.1</v>
      </c>
      <c r="K213" s="241">
        <v>0</v>
      </c>
      <c r="L213" s="241">
        <v>0</v>
      </c>
      <c r="M213" s="241">
        <v>0</v>
      </c>
      <c r="N213" s="241">
        <v>56.2</v>
      </c>
    </row>
    <row r="214" spans="1:14" x14ac:dyDescent="0.2">
      <c r="A214" s="240" t="s">
        <v>179</v>
      </c>
      <c r="B214" s="241">
        <v>75</v>
      </c>
      <c r="C214" s="241">
        <v>0</v>
      </c>
      <c r="D214" s="241">
        <v>0</v>
      </c>
      <c r="E214" s="241">
        <v>0</v>
      </c>
      <c r="F214" s="241">
        <v>0</v>
      </c>
      <c r="G214" s="241">
        <v>0</v>
      </c>
      <c r="H214" s="241">
        <v>0</v>
      </c>
      <c r="I214" s="241">
        <v>0</v>
      </c>
      <c r="J214" s="241">
        <v>0</v>
      </c>
      <c r="K214" s="241">
        <v>31.7</v>
      </c>
      <c r="L214" s="241">
        <v>0</v>
      </c>
      <c r="M214" s="241">
        <v>0</v>
      </c>
      <c r="N214" s="241">
        <v>0</v>
      </c>
    </row>
    <row r="215" spans="1:14" x14ac:dyDescent="0.2">
      <c r="A215" s="240" t="s">
        <v>178</v>
      </c>
      <c r="B215" s="241">
        <v>60</v>
      </c>
      <c r="C215" s="241">
        <v>104</v>
      </c>
      <c r="D215" s="241">
        <v>0</v>
      </c>
      <c r="E215" s="241">
        <f>100-D215</f>
        <v>100</v>
      </c>
      <c r="F215" s="241">
        <v>0</v>
      </c>
      <c r="G215" s="241">
        <v>0</v>
      </c>
      <c r="H215" s="241">
        <v>0</v>
      </c>
      <c r="I215" s="241">
        <v>0</v>
      </c>
      <c r="J215" s="241">
        <v>0</v>
      </c>
      <c r="K215" s="241">
        <v>24.3</v>
      </c>
      <c r="L215" s="241">
        <v>0</v>
      </c>
      <c r="M215" s="241">
        <v>0</v>
      </c>
      <c r="N215" s="241">
        <v>0</v>
      </c>
    </row>
    <row r="216" spans="1:14" x14ac:dyDescent="0.2">
      <c r="A216" s="240" t="s">
        <v>177</v>
      </c>
      <c r="B216" s="241">
        <v>100</v>
      </c>
      <c r="C216" s="241">
        <v>0</v>
      </c>
      <c r="D216" s="241">
        <v>0</v>
      </c>
      <c r="E216" s="241">
        <v>0</v>
      </c>
      <c r="F216" s="241">
        <v>0</v>
      </c>
      <c r="G216" s="241">
        <v>0</v>
      </c>
      <c r="H216" s="241">
        <v>0</v>
      </c>
      <c r="I216" s="241">
        <v>0</v>
      </c>
      <c r="J216" s="241">
        <v>34</v>
      </c>
      <c r="K216" s="241">
        <v>14</v>
      </c>
      <c r="L216" s="241">
        <v>0</v>
      </c>
      <c r="M216" s="241">
        <v>0</v>
      </c>
      <c r="N216" s="241">
        <v>0</v>
      </c>
    </row>
    <row r="217" spans="1:14" x14ac:dyDescent="0.2">
      <c r="A217" s="240" t="s">
        <v>176</v>
      </c>
      <c r="B217" s="241">
        <v>100</v>
      </c>
      <c r="C217" s="241">
        <v>0</v>
      </c>
      <c r="D217" s="241">
        <v>0</v>
      </c>
      <c r="E217" s="241">
        <v>0</v>
      </c>
      <c r="F217" s="241">
        <v>0</v>
      </c>
      <c r="G217" s="241">
        <v>0</v>
      </c>
      <c r="H217" s="241">
        <v>0</v>
      </c>
      <c r="I217" s="241">
        <v>0</v>
      </c>
      <c r="J217" s="241">
        <v>31</v>
      </c>
      <c r="K217" s="241">
        <v>18</v>
      </c>
      <c r="L217" s="241">
        <v>0</v>
      </c>
      <c r="M217" s="241">
        <v>0</v>
      </c>
      <c r="N217" s="241">
        <v>0</v>
      </c>
    </row>
    <row r="218" spans="1:14" x14ac:dyDescent="0.2">
      <c r="A218" s="240" t="s">
        <v>175</v>
      </c>
      <c r="B218" s="241">
        <v>85</v>
      </c>
      <c r="C218" s="241">
        <v>115.9</v>
      </c>
      <c r="D218" s="241">
        <v>0</v>
      </c>
      <c r="E218" s="241">
        <f>100-D218</f>
        <v>100</v>
      </c>
      <c r="F218" s="241">
        <v>0</v>
      </c>
      <c r="G218" s="241">
        <v>0</v>
      </c>
      <c r="H218" s="241">
        <v>0</v>
      </c>
      <c r="I218" s="241">
        <v>0</v>
      </c>
      <c r="J218" s="241">
        <v>0</v>
      </c>
      <c r="K218" s="241">
        <v>20.6</v>
      </c>
      <c r="L218" s="241">
        <v>0</v>
      </c>
      <c r="M218" s="241">
        <v>0</v>
      </c>
      <c r="N218" s="241">
        <v>0</v>
      </c>
    </row>
    <row r="219" spans="1:14" x14ac:dyDescent="0.2">
      <c r="A219" s="240" t="s">
        <v>174</v>
      </c>
      <c r="B219" s="241">
        <v>100</v>
      </c>
      <c r="C219" s="241">
        <v>0</v>
      </c>
      <c r="D219" s="241">
        <v>0</v>
      </c>
      <c r="E219" s="241">
        <v>0</v>
      </c>
      <c r="F219" s="241">
        <v>0</v>
      </c>
      <c r="G219" s="241">
        <v>0</v>
      </c>
      <c r="H219" s="241">
        <v>0</v>
      </c>
      <c r="I219" s="241">
        <v>0</v>
      </c>
      <c r="J219" s="241">
        <v>22</v>
      </c>
      <c r="K219" s="241">
        <v>19.3</v>
      </c>
      <c r="L219" s="241">
        <v>0</v>
      </c>
      <c r="M219" s="241">
        <v>0</v>
      </c>
      <c r="N219" s="241">
        <v>0</v>
      </c>
    </row>
    <row r="220" spans="1:14" x14ac:dyDescent="0.2">
      <c r="A220" s="240" t="s">
        <v>173</v>
      </c>
      <c r="B220" s="241">
        <v>100</v>
      </c>
      <c r="C220" s="241">
        <v>0</v>
      </c>
      <c r="D220" s="241">
        <v>0</v>
      </c>
      <c r="E220" s="241">
        <v>0</v>
      </c>
      <c r="F220" s="241">
        <v>0</v>
      </c>
      <c r="G220" s="241">
        <v>0</v>
      </c>
      <c r="H220" s="241">
        <v>0</v>
      </c>
      <c r="I220" s="241">
        <v>0</v>
      </c>
      <c r="J220" s="241">
        <v>0</v>
      </c>
      <c r="K220" s="241">
        <v>21.6</v>
      </c>
      <c r="L220" s="241">
        <v>0</v>
      </c>
      <c r="M220" s="241">
        <v>0</v>
      </c>
      <c r="N220" s="241">
        <v>0</v>
      </c>
    </row>
    <row r="221" spans="1:14" x14ac:dyDescent="0.2">
      <c r="A221" s="240" t="s">
        <v>172</v>
      </c>
      <c r="B221" s="241">
        <v>100</v>
      </c>
      <c r="C221" s="241">
        <v>11</v>
      </c>
      <c r="D221" s="241">
        <v>0</v>
      </c>
      <c r="E221" s="241">
        <f>100-D221</f>
        <v>100</v>
      </c>
      <c r="F221" s="241">
        <v>0</v>
      </c>
      <c r="G221" s="241">
        <v>0</v>
      </c>
      <c r="H221" s="241">
        <v>0</v>
      </c>
      <c r="I221" s="241">
        <v>0</v>
      </c>
      <c r="J221" s="241">
        <v>0</v>
      </c>
      <c r="K221" s="241">
        <v>25</v>
      </c>
      <c r="L221" s="241">
        <v>0</v>
      </c>
      <c r="M221" s="241">
        <v>0</v>
      </c>
      <c r="N221" s="241">
        <v>0</v>
      </c>
    </row>
    <row r="222" spans="1:14" x14ac:dyDescent="0.2">
      <c r="A222" s="240" t="s">
        <v>171</v>
      </c>
      <c r="B222" s="241">
        <v>100</v>
      </c>
      <c r="C222" s="241">
        <v>0</v>
      </c>
      <c r="D222" s="241">
        <v>0</v>
      </c>
      <c r="E222" s="241">
        <v>0</v>
      </c>
      <c r="F222" s="241">
        <v>0</v>
      </c>
      <c r="G222" s="241">
        <v>0</v>
      </c>
      <c r="H222" s="241">
        <v>0</v>
      </c>
      <c r="I222" s="241">
        <v>0</v>
      </c>
      <c r="J222" s="241">
        <v>16.399999999999999</v>
      </c>
      <c r="K222" s="241">
        <v>21.6</v>
      </c>
      <c r="L222" s="241">
        <v>0</v>
      </c>
      <c r="M222" s="241">
        <v>0</v>
      </c>
      <c r="N222" s="241">
        <v>0</v>
      </c>
    </row>
    <row r="223" spans="1:14" x14ac:dyDescent="0.2">
      <c r="A223" s="240" t="s">
        <v>170</v>
      </c>
      <c r="B223" s="241">
        <v>100</v>
      </c>
      <c r="C223" s="241">
        <v>0</v>
      </c>
      <c r="D223" s="241">
        <v>0</v>
      </c>
      <c r="E223" s="241">
        <v>0</v>
      </c>
      <c r="F223" s="241">
        <v>0</v>
      </c>
      <c r="G223" s="241">
        <v>0</v>
      </c>
      <c r="H223" s="241">
        <v>0</v>
      </c>
      <c r="I223" s="241">
        <v>0</v>
      </c>
      <c r="J223" s="241">
        <v>0</v>
      </c>
      <c r="K223" s="241">
        <v>22.5</v>
      </c>
      <c r="L223" s="241">
        <v>0</v>
      </c>
      <c r="M223" s="241">
        <v>0</v>
      </c>
      <c r="N223" s="241">
        <v>0</v>
      </c>
    </row>
    <row r="224" spans="1:14" x14ac:dyDescent="0.2">
      <c r="A224" s="240" t="s">
        <v>169</v>
      </c>
      <c r="B224" s="241">
        <v>100</v>
      </c>
      <c r="C224" s="241">
        <v>0</v>
      </c>
      <c r="D224" s="241">
        <v>0</v>
      </c>
      <c r="E224" s="241">
        <v>0</v>
      </c>
      <c r="F224" s="241">
        <v>0</v>
      </c>
      <c r="G224" s="241">
        <v>0</v>
      </c>
      <c r="H224" s="241">
        <v>0</v>
      </c>
      <c r="I224" s="241">
        <v>0</v>
      </c>
      <c r="J224" s="241">
        <v>0</v>
      </c>
      <c r="K224" s="241">
        <v>25</v>
      </c>
      <c r="L224" s="241">
        <v>0</v>
      </c>
      <c r="M224" s="241">
        <v>0</v>
      </c>
      <c r="N224" s="241">
        <v>0</v>
      </c>
    </row>
    <row r="225" spans="1:14" x14ac:dyDescent="0.2">
      <c r="A225" s="240" t="s">
        <v>168</v>
      </c>
      <c r="B225" s="241">
        <v>100</v>
      </c>
      <c r="C225" s="241">
        <v>0</v>
      </c>
      <c r="D225" s="241">
        <v>0</v>
      </c>
      <c r="E225" s="241">
        <v>0</v>
      </c>
      <c r="F225" s="241">
        <v>0</v>
      </c>
      <c r="G225" s="241">
        <v>0</v>
      </c>
      <c r="H225" s="241">
        <v>0</v>
      </c>
      <c r="I225" s="241">
        <v>0</v>
      </c>
      <c r="J225" s="241">
        <v>0</v>
      </c>
      <c r="K225" s="241">
        <v>0</v>
      </c>
      <c r="L225" s="241">
        <v>50.5</v>
      </c>
      <c r="M225" s="241">
        <v>0</v>
      </c>
      <c r="N225" s="241">
        <v>0</v>
      </c>
    </row>
    <row r="226" spans="1:14" x14ac:dyDescent="0.2">
      <c r="A226" s="240" t="s">
        <v>167</v>
      </c>
      <c r="B226" s="241">
        <v>100</v>
      </c>
      <c r="C226" s="241">
        <v>0</v>
      </c>
      <c r="D226" s="241">
        <v>0</v>
      </c>
      <c r="E226" s="241">
        <v>0</v>
      </c>
      <c r="F226" s="241">
        <v>0</v>
      </c>
      <c r="G226" s="241">
        <v>0</v>
      </c>
      <c r="H226" s="241">
        <v>0</v>
      </c>
      <c r="I226" s="241">
        <v>0</v>
      </c>
      <c r="J226" s="241">
        <v>0</v>
      </c>
      <c r="K226" s="241">
        <v>0</v>
      </c>
      <c r="L226" s="241">
        <v>44</v>
      </c>
      <c r="M226" s="241">
        <v>18</v>
      </c>
      <c r="N226" s="241">
        <v>0</v>
      </c>
    </row>
    <row r="227" spans="1:14" x14ac:dyDescent="0.2">
      <c r="A227" s="240" t="s">
        <v>166</v>
      </c>
      <c r="B227" s="241">
        <v>100</v>
      </c>
      <c r="C227" s="241">
        <v>0</v>
      </c>
      <c r="D227" s="241">
        <v>0</v>
      </c>
      <c r="E227" s="241">
        <v>0</v>
      </c>
      <c r="F227" s="241">
        <v>0</v>
      </c>
      <c r="G227" s="241">
        <v>0</v>
      </c>
      <c r="H227" s="241">
        <v>0</v>
      </c>
      <c r="I227" s="241">
        <v>0</v>
      </c>
      <c r="J227" s="241">
        <v>0</v>
      </c>
      <c r="K227" s="241">
        <v>0</v>
      </c>
      <c r="L227" s="241">
        <v>0</v>
      </c>
      <c r="M227" s="241">
        <v>0</v>
      </c>
      <c r="N227" s="241">
        <v>0</v>
      </c>
    </row>
  </sheetData>
  <pageMargins left="1.25" right="1.25" top="1" bottom="1" header="0.5" footer="0.75"/>
  <pageSetup paperSize="0" scale="0" horizontalDpi="0" verticalDpi="0" copies="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O30"/>
  <sheetViews>
    <sheetView workbookViewId="0">
      <selection activeCell="J39" sqref="J39"/>
    </sheetView>
  </sheetViews>
  <sheetFormatPr defaultRowHeight="12.75" x14ac:dyDescent="0.2"/>
  <cols>
    <col min="1" max="1" width="4.5703125" style="6" customWidth="1"/>
    <col min="2" max="2" width="16.42578125" style="6" customWidth="1"/>
    <col min="3" max="14" width="9.140625" style="6"/>
    <col min="15" max="15" width="5.28515625" style="6" customWidth="1"/>
    <col min="16" max="16384" width="9.140625" style="6"/>
  </cols>
  <sheetData>
    <row r="1" spans="2:15" ht="13.5" thickBot="1" x14ac:dyDescent="0.25"/>
    <row r="2" spans="2:15" x14ac:dyDescent="0.2">
      <c r="B2" s="173"/>
      <c r="C2" s="97"/>
      <c r="D2" s="97"/>
      <c r="E2" s="97"/>
      <c r="F2" s="97"/>
      <c r="G2" s="97"/>
      <c r="H2" s="97"/>
      <c r="I2" s="97"/>
      <c r="J2" s="97"/>
      <c r="K2" s="97"/>
      <c r="L2" s="97"/>
      <c r="M2" s="97"/>
      <c r="N2" s="97"/>
      <c r="O2" s="52"/>
    </row>
    <row r="3" spans="2:15" ht="18" x14ac:dyDescent="0.25">
      <c r="B3" s="181" t="s">
        <v>123</v>
      </c>
      <c r="C3" s="108"/>
      <c r="D3" s="108"/>
      <c r="E3" s="108"/>
      <c r="F3" s="108"/>
      <c r="G3" s="108"/>
      <c r="H3" s="108"/>
      <c r="I3" s="108"/>
      <c r="J3" s="108"/>
      <c r="K3" s="108"/>
      <c r="L3" s="108"/>
      <c r="M3" s="108"/>
      <c r="N3" s="108"/>
      <c r="O3" s="19"/>
    </row>
    <row r="4" spans="2:15" x14ac:dyDescent="0.2">
      <c r="B4" s="175"/>
      <c r="C4" s="108"/>
      <c r="D4" s="108"/>
      <c r="E4" s="108"/>
      <c r="F4" s="108"/>
      <c r="G4" s="108"/>
      <c r="H4" s="108"/>
      <c r="I4" s="108"/>
      <c r="J4" s="108"/>
      <c r="K4" s="108"/>
      <c r="L4" s="108"/>
      <c r="M4" s="108"/>
      <c r="N4" s="108"/>
      <c r="O4" s="19"/>
    </row>
    <row r="5" spans="2:15" x14ac:dyDescent="0.2">
      <c r="B5" s="175"/>
      <c r="C5" s="108"/>
      <c r="D5" s="108"/>
      <c r="E5" s="108"/>
      <c r="F5" s="108"/>
      <c r="G5" s="108"/>
      <c r="H5" s="108"/>
      <c r="I5" s="108"/>
      <c r="J5" s="108"/>
      <c r="K5" s="108"/>
      <c r="L5" s="108"/>
      <c r="M5" s="108"/>
      <c r="N5" s="108"/>
      <c r="O5" s="19"/>
    </row>
    <row r="6" spans="2:15" x14ac:dyDescent="0.2">
      <c r="B6" s="175"/>
      <c r="C6" s="108"/>
      <c r="D6" s="108"/>
      <c r="E6" s="108"/>
      <c r="F6" s="108"/>
      <c r="G6" s="108"/>
      <c r="H6" s="108"/>
      <c r="I6" s="108"/>
      <c r="J6" s="108"/>
      <c r="K6" s="108"/>
      <c r="L6" s="108"/>
      <c r="M6" s="108"/>
      <c r="N6" s="108"/>
      <c r="O6" s="19"/>
    </row>
    <row r="7" spans="2:15" ht="18.75" customHeight="1" x14ac:dyDescent="0.2">
      <c r="B7" s="175"/>
      <c r="C7" s="108"/>
      <c r="D7" s="108"/>
      <c r="E7" s="108"/>
      <c r="F7" s="108"/>
      <c r="G7" s="108"/>
      <c r="H7" s="108"/>
      <c r="I7" s="108"/>
      <c r="J7" s="108"/>
      <c r="K7" s="108"/>
      <c r="L7" s="108"/>
      <c r="M7" s="108"/>
      <c r="N7" s="108"/>
      <c r="O7" s="19"/>
    </row>
    <row r="8" spans="2:15" ht="18" x14ac:dyDescent="0.25">
      <c r="B8" s="181" t="s">
        <v>124</v>
      </c>
      <c r="C8" s="108"/>
      <c r="D8" s="108"/>
      <c r="E8" s="108"/>
      <c r="F8" s="108"/>
      <c r="G8" s="108"/>
      <c r="H8" s="108"/>
      <c r="I8" s="108"/>
      <c r="J8" s="108"/>
      <c r="K8" s="108"/>
      <c r="L8" s="108"/>
      <c r="M8" s="108"/>
      <c r="N8" s="108"/>
      <c r="O8" s="19"/>
    </row>
    <row r="9" spans="2:15" x14ac:dyDescent="0.2">
      <c r="B9" s="175"/>
      <c r="C9" s="108"/>
      <c r="D9" s="108"/>
      <c r="E9" s="108"/>
      <c r="F9" s="108"/>
      <c r="G9" s="108"/>
      <c r="H9" s="108"/>
      <c r="I9" s="108"/>
      <c r="J9" s="108"/>
      <c r="K9" s="108"/>
      <c r="L9" s="108"/>
      <c r="M9" s="108"/>
      <c r="N9" s="108"/>
      <c r="O9" s="19"/>
    </row>
    <row r="10" spans="2:15" x14ac:dyDescent="0.2">
      <c r="B10" s="175"/>
      <c r="C10" s="108"/>
      <c r="D10" s="108"/>
      <c r="E10" s="108"/>
      <c r="F10" s="108"/>
      <c r="G10" s="108"/>
      <c r="H10" s="108"/>
      <c r="I10" s="108"/>
      <c r="J10" s="108"/>
      <c r="K10" s="108"/>
      <c r="L10" s="108"/>
      <c r="M10" s="108"/>
      <c r="N10" s="108"/>
      <c r="O10" s="19"/>
    </row>
    <row r="11" spans="2:15" x14ac:dyDescent="0.2">
      <c r="B11" s="175"/>
      <c r="C11" s="108"/>
      <c r="D11" s="108"/>
      <c r="E11" s="108"/>
      <c r="F11" s="108"/>
      <c r="G11" s="108"/>
      <c r="H11" s="108"/>
      <c r="I11" s="108"/>
      <c r="J11" s="108"/>
      <c r="K11" s="108"/>
      <c r="L11" s="108"/>
      <c r="M11" s="108"/>
      <c r="N11" s="108"/>
      <c r="O11" s="19"/>
    </row>
    <row r="12" spans="2:15" x14ac:dyDescent="0.2">
      <c r="B12" s="175"/>
      <c r="C12" s="108"/>
      <c r="D12" s="108"/>
      <c r="E12" s="108"/>
      <c r="F12" s="108"/>
      <c r="G12" s="108"/>
      <c r="H12" s="108"/>
      <c r="I12" s="108"/>
      <c r="J12" s="108"/>
      <c r="K12" s="108"/>
      <c r="L12" s="108"/>
      <c r="M12" s="108"/>
      <c r="N12" s="108"/>
      <c r="O12" s="19"/>
    </row>
    <row r="13" spans="2:15" ht="18" x14ac:dyDescent="0.25">
      <c r="B13" s="181" t="s">
        <v>125</v>
      </c>
      <c r="C13" s="108"/>
      <c r="D13" s="108"/>
      <c r="E13" s="108"/>
      <c r="F13" s="108"/>
      <c r="G13" s="108"/>
      <c r="H13" s="108"/>
      <c r="I13" s="108"/>
      <c r="J13" s="108"/>
      <c r="K13" s="108"/>
      <c r="L13" s="108"/>
      <c r="M13" s="108"/>
      <c r="N13" s="108"/>
      <c r="O13" s="19"/>
    </row>
    <row r="14" spans="2:15" x14ac:dyDescent="0.2">
      <c r="B14" s="175"/>
      <c r="C14" s="108"/>
      <c r="D14" s="108"/>
      <c r="E14" s="108"/>
      <c r="F14" s="108"/>
      <c r="G14" s="108"/>
      <c r="H14" s="108"/>
      <c r="I14" s="108"/>
      <c r="J14" s="108"/>
      <c r="K14" s="108"/>
      <c r="L14" s="108"/>
      <c r="M14" s="108"/>
      <c r="N14" s="108"/>
      <c r="O14" s="19"/>
    </row>
    <row r="15" spans="2:15" ht="21.75" customHeight="1" x14ac:dyDescent="0.2">
      <c r="B15" s="175"/>
      <c r="C15" s="108"/>
      <c r="D15" s="108"/>
      <c r="E15" s="108"/>
      <c r="F15" s="108"/>
      <c r="G15" s="108"/>
      <c r="H15" s="108"/>
      <c r="I15" s="108"/>
      <c r="J15" s="108"/>
      <c r="K15" s="108"/>
      <c r="L15" s="108"/>
      <c r="M15" s="108"/>
      <c r="N15" s="108"/>
      <c r="O15" s="19"/>
    </row>
    <row r="16" spans="2:15" ht="18" x14ac:dyDescent="0.25">
      <c r="B16" s="182" t="s">
        <v>126</v>
      </c>
      <c r="C16" s="108"/>
      <c r="D16" s="108"/>
      <c r="E16" s="108"/>
      <c r="F16" s="108"/>
      <c r="G16" s="108"/>
      <c r="H16" s="108"/>
      <c r="I16" s="108"/>
      <c r="J16" s="108"/>
      <c r="K16" s="108"/>
      <c r="L16" s="108"/>
      <c r="M16" s="108"/>
      <c r="N16" s="108"/>
      <c r="O16" s="19"/>
    </row>
    <row r="17" spans="2:15" x14ac:dyDescent="0.2">
      <c r="B17" s="183"/>
      <c r="C17" s="108"/>
      <c r="D17" s="108"/>
      <c r="E17" s="108"/>
      <c r="F17" s="108"/>
      <c r="G17" s="108"/>
      <c r="H17" s="108"/>
      <c r="I17" s="108"/>
      <c r="J17" s="108"/>
      <c r="K17" s="108"/>
      <c r="L17" s="108"/>
      <c r="M17" s="108"/>
      <c r="N17" s="108"/>
      <c r="O17" s="19"/>
    </row>
    <row r="18" spans="2:15" x14ac:dyDescent="0.2">
      <c r="B18" s="183"/>
      <c r="C18" s="108"/>
      <c r="D18" s="108"/>
      <c r="E18" s="108"/>
      <c r="F18" s="108"/>
      <c r="G18" s="108"/>
      <c r="H18" s="108"/>
      <c r="I18" s="108"/>
      <c r="J18" s="108"/>
      <c r="K18" s="108"/>
      <c r="L18" s="108"/>
      <c r="M18" s="108"/>
      <c r="N18" s="108"/>
      <c r="O18" s="19"/>
    </row>
    <row r="19" spans="2:15" x14ac:dyDescent="0.2">
      <c r="B19" s="183"/>
      <c r="C19" s="108"/>
      <c r="D19" s="108"/>
      <c r="E19" s="108"/>
      <c r="F19" s="108"/>
      <c r="G19" s="108"/>
      <c r="H19" s="108"/>
      <c r="I19" s="108"/>
      <c r="J19" s="108"/>
      <c r="K19" s="108"/>
      <c r="L19" s="108"/>
      <c r="M19" s="108"/>
      <c r="N19" s="108"/>
      <c r="O19" s="19"/>
    </row>
    <row r="20" spans="2:15" x14ac:dyDescent="0.2">
      <c r="B20" s="183"/>
      <c r="C20" s="108"/>
      <c r="D20" s="108"/>
      <c r="E20" s="108"/>
      <c r="F20" s="108"/>
      <c r="G20" s="108"/>
      <c r="H20" s="108"/>
      <c r="I20" s="108"/>
      <c r="J20" s="108"/>
      <c r="K20" s="108"/>
      <c r="L20" s="108"/>
      <c r="M20" s="108"/>
      <c r="N20" s="108"/>
      <c r="O20" s="19"/>
    </row>
    <row r="21" spans="2:15" ht="18" x14ac:dyDescent="0.25">
      <c r="B21" s="182" t="s">
        <v>127</v>
      </c>
      <c r="C21" s="108"/>
      <c r="D21" s="108"/>
      <c r="E21" s="108"/>
      <c r="F21" s="108"/>
      <c r="G21" s="108"/>
      <c r="H21" s="108"/>
      <c r="I21" s="108"/>
      <c r="J21" s="108"/>
      <c r="K21" s="108"/>
      <c r="L21" s="108"/>
      <c r="M21" s="108"/>
      <c r="N21" s="108"/>
      <c r="O21" s="19"/>
    </row>
    <row r="22" spans="2:15" x14ac:dyDescent="0.2">
      <c r="B22" s="183"/>
      <c r="C22" s="108"/>
      <c r="D22" s="108"/>
      <c r="E22" s="108"/>
      <c r="F22" s="108"/>
      <c r="G22" s="108"/>
      <c r="H22" s="108"/>
      <c r="I22" s="108"/>
      <c r="J22" s="108"/>
      <c r="K22" s="108"/>
      <c r="L22" s="108"/>
      <c r="M22" s="108"/>
      <c r="N22" s="108"/>
      <c r="O22" s="19"/>
    </row>
    <row r="23" spans="2:15" x14ac:dyDescent="0.2">
      <c r="B23" s="183"/>
      <c r="C23" s="108"/>
      <c r="D23" s="108"/>
      <c r="E23" s="108"/>
      <c r="F23" s="108"/>
      <c r="G23" s="108"/>
      <c r="H23" s="108"/>
      <c r="I23" s="108"/>
      <c r="J23" s="108"/>
      <c r="K23" s="108"/>
      <c r="L23" s="108"/>
      <c r="M23" s="108"/>
      <c r="N23" s="108"/>
      <c r="O23" s="19"/>
    </row>
    <row r="24" spans="2:15" ht="16.5" customHeight="1" x14ac:dyDescent="0.2">
      <c r="B24" s="183"/>
      <c r="C24" s="108"/>
      <c r="D24" s="108"/>
      <c r="E24" s="108"/>
      <c r="F24" s="108"/>
      <c r="G24" s="108"/>
      <c r="H24" s="108"/>
      <c r="I24" s="108"/>
      <c r="J24" s="108"/>
      <c r="K24" s="108"/>
      <c r="L24" s="108"/>
      <c r="M24" s="108"/>
      <c r="N24" s="108"/>
      <c r="O24" s="19"/>
    </row>
    <row r="25" spans="2:15" ht="18" x14ac:dyDescent="0.25">
      <c r="B25" s="182" t="s">
        <v>128</v>
      </c>
      <c r="C25" s="108"/>
      <c r="D25" s="108"/>
      <c r="E25" s="108"/>
      <c r="F25" s="108"/>
      <c r="G25" s="108"/>
      <c r="H25" s="108"/>
      <c r="I25" s="108"/>
      <c r="J25" s="108"/>
      <c r="K25" s="108"/>
      <c r="L25" s="108"/>
      <c r="M25" s="108"/>
      <c r="N25" s="108"/>
      <c r="O25" s="19"/>
    </row>
    <row r="26" spans="2:15" x14ac:dyDescent="0.2">
      <c r="B26" s="175"/>
      <c r="C26" s="108"/>
      <c r="D26" s="108"/>
      <c r="E26" s="108"/>
      <c r="F26" s="108"/>
      <c r="G26" s="108"/>
      <c r="H26" s="108"/>
      <c r="I26" s="108"/>
      <c r="J26" s="108"/>
      <c r="K26" s="108"/>
      <c r="L26" s="108"/>
      <c r="M26" s="108"/>
      <c r="N26" s="108"/>
      <c r="O26" s="19"/>
    </row>
    <row r="27" spans="2:15" x14ac:dyDescent="0.2">
      <c r="B27" s="175"/>
      <c r="C27" s="108"/>
      <c r="D27" s="108"/>
      <c r="E27" s="108"/>
      <c r="F27" s="108"/>
      <c r="G27" s="108"/>
      <c r="H27" s="108"/>
      <c r="I27" s="108"/>
      <c r="J27" s="108"/>
      <c r="K27" s="108"/>
      <c r="L27" s="108"/>
      <c r="M27" s="108"/>
      <c r="N27" s="108"/>
      <c r="O27" s="19"/>
    </row>
    <row r="28" spans="2:15" x14ac:dyDescent="0.2">
      <c r="B28" s="175"/>
      <c r="C28" s="108"/>
      <c r="D28" s="108"/>
      <c r="E28" s="108"/>
      <c r="F28" s="108"/>
      <c r="G28" s="108"/>
      <c r="H28" s="108"/>
      <c r="I28" s="108"/>
      <c r="J28" s="108"/>
      <c r="K28" s="108"/>
      <c r="L28" s="108"/>
      <c r="M28" s="108"/>
      <c r="N28" s="108"/>
      <c r="O28" s="19"/>
    </row>
    <row r="29" spans="2:15" x14ac:dyDescent="0.2">
      <c r="B29" s="175"/>
      <c r="C29" s="108"/>
      <c r="D29" s="108"/>
      <c r="E29" s="108"/>
      <c r="F29" s="108"/>
      <c r="G29" s="108"/>
      <c r="H29" s="108"/>
      <c r="I29" s="108"/>
      <c r="J29" s="108"/>
      <c r="K29" s="108"/>
      <c r="L29" s="108"/>
      <c r="M29" s="108"/>
      <c r="N29" s="108"/>
      <c r="O29" s="19"/>
    </row>
    <row r="30" spans="2:15" ht="13.5" thickBot="1" x14ac:dyDescent="0.25">
      <c r="B30" s="36"/>
      <c r="C30" s="37"/>
      <c r="D30" s="37"/>
      <c r="E30" s="37"/>
      <c r="F30" s="37"/>
      <c r="G30" s="37"/>
      <c r="H30" s="37"/>
      <c r="I30" s="37"/>
      <c r="J30" s="37"/>
      <c r="K30" s="37"/>
      <c r="L30" s="37"/>
      <c r="M30" s="37"/>
      <c r="N30" s="37"/>
      <c r="O30" s="38"/>
    </row>
  </sheetData>
  <phoneticPr fontId="2" type="noConversion"/>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BB37"/>
  <sheetViews>
    <sheetView workbookViewId="0">
      <selection activeCell="E11" sqref="E11"/>
    </sheetView>
  </sheetViews>
  <sheetFormatPr defaultRowHeight="12.75" x14ac:dyDescent="0.2"/>
  <cols>
    <col min="1" max="1" width="4" style="6" customWidth="1"/>
    <col min="2" max="2" width="4.42578125" style="6" customWidth="1"/>
    <col min="3" max="3" width="36.85546875" style="6" customWidth="1"/>
    <col min="4" max="4" width="9.140625" style="6"/>
    <col min="5" max="5" width="10.7109375" style="6" customWidth="1"/>
    <col min="6" max="7" width="9.140625" style="6"/>
    <col min="8" max="9" width="4.85546875" style="6" customWidth="1"/>
    <col min="10" max="10" width="4.5703125" style="6" customWidth="1"/>
    <col min="11" max="11" width="3.7109375" style="6" customWidth="1"/>
    <col min="12" max="12" width="9.5703125" style="6" bestFit="1" customWidth="1"/>
    <col min="13" max="13" width="9.140625" style="6"/>
    <col min="14" max="14" width="13.7109375" style="6" bestFit="1" customWidth="1"/>
    <col min="15" max="15" width="13.7109375" style="6" customWidth="1"/>
    <col min="16" max="16" width="4.5703125" style="6" customWidth="1"/>
    <col min="17" max="17" width="19.28515625" style="6" bestFit="1" customWidth="1"/>
    <col min="18" max="16384" width="9.140625" style="6"/>
  </cols>
  <sheetData>
    <row r="1" spans="2:54" ht="18.75" thickBot="1" x14ac:dyDescent="0.3">
      <c r="B1" s="6">
        <v>1</v>
      </c>
      <c r="J1" s="95" t="s">
        <v>97</v>
      </c>
    </row>
    <row r="2" spans="2:54" ht="18.75" thickBot="1" x14ac:dyDescent="0.3">
      <c r="B2" s="95" t="s">
        <v>98</v>
      </c>
      <c r="J2" s="104"/>
      <c r="K2" s="105"/>
      <c r="L2" s="105"/>
      <c r="M2" s="105"/>
      <c r="N2" s="105"/>
      <c r="O2" s="105"/>
      <c r="P2" s="106"/>
    </row>
    <row r="3" spans="2:54" x14ac:dyDescent="0.2">
      <c r="B3" s="173"/>
      <c r="C3" s="97"/>
      <c r="D3" s="97"/>
      <c r="E3" s="97"/>
      <c r="F3" s="97"/>
      <c r="G3" s="97"/>
      <c r="H3" s="52"/>
      <c r="J3" s="112"/>
      <c r="K3" s="113" t="s">
        <v>58</v>
      </c>
      <c r="L3" s="174">
        <f>IF(E12=0,"",IF(L7="","",L7/E12))</f>
        <v>1.0683760683760684</v>
      </c>
      <c r="M3" s="115" t="s">
        <v>94</v>
      </c>
      <c r="N3" s="115"/>
      <c r="O3" s="115"/>
      <c r="P3" s="116"/>
    </row>
    <row r="4" spans="2:54" x14ac:dyDescent="0.2">
      <c r="B4" s="175"/>
      <c r="C4" s="124" t="s">
        <v>99</v>
      </c>
      <c r="D4" s="108"/>
      <c r="E4" s="248" t="s">
        <v>122</v>
      </c>
      <c r="F4" s="248"/>
      <c r="G4" s="248"/>
      <c r="H4" s="176"/>
      <c r="I4" s="123"/>
      <c r="J4" s="112"/>
      <c r="K4" s="118"/>
      <c r="L4" s="119"/>
      <c r="M4" s="120"/>
      <c r="N4" s="120"/>
      <c r="O4" s="120"/>
      <c r="P4" s="116"/>
      <c r="AH4" s="6" t="s">
        <v>6</v>
      </c>
      <c r="AI4" s="6" t="s">
        <v>30</v>
      </c>
      <c r="AJ4" s="6" t="s">
        <v>100</v>
      </c>
      <c r="AK4" s="6" t="s">
        <v>33</v>
      </c>
      <c r="AL4" s="6" t="s">
        <v>101</v>
      </c>
      <c r="AM4" s="6" t="s">
        <v>102</v>
      </c>
      <c r="AQ4" s="6" t="s">
        <v>41</v>
      </c>
      <c r="AR4" s="6" t="s">
        <v>80</v>
      </c>
      <c r="AS4" s="6" t="s">
        <v>42</v>
      </c>
      <c r="AU4" s="6" t="s">
        <v>44</v>
      </c>
      <c r="AW4" s="6" t="s">
        <v>30</v>
      </c>
      <c r="AX4" s="6" t="s">
        <v>44</v>
      </c>
      <c r="AZ4" s="6" t="s">
        <v>30</v>
      </c>
      <c r="BA4" s="6" t="s">
        <v>44</v>
      </c>
      <c r="BB4" s="6" t="s">
        <v>103</v>
      </c>
    </row>
    <row r="5" spans="2:54" x14ac:dyDescent="0.2">
      <c r="B5" s="175"/>
      <c r="C5" s="124"/>
      <c r="D5" s="108"/>
      <c r="E5" s="108"/>
      <c r="F5" s="108"/>
      <c r="G5" s="108"/>
      <c r="H5" s="19"/>
      <c r="I5" s="123"/>
      <c r="J5" s="121"/>
      <c r="K5" s="113" t="s">
        <v>58</v>
      </c>
      <c r="L5" s="174">
        <f>IF(E14=0,"",IF(L7="","",L7/E14))</f>
        <v>0.24366471734892792</v>
      </c>
      <c r="M5" s="115" t="s">
        <v>95</v>
      </c>
      <c r="N5" s="115"/>
      <c r="O5" s="115"/>
      <c r="P5" s="116"/>
    </row>
    <row r="6" spans="2:54" x14ac:dyDescent="0.2">
      <c r="B6" s="175"/>
      <c r="C6" s="124" t="s">
        <v>104</v>
      </c>
      <c r="D6" s="155" t="s">
        <v>58</v>
      </c>
      <c r="E6" s="177">
        <v>250</v>
      </c>
      <c r="F6" s="108"/>
      <c r="G6" s="108"/>
      <c r="H6" s="19"/>
      <c r="J6" s="121"/>
      <c r="K6" s="118"/>
      <c r="L6" s="119"/>
      <c r="M6" s="120"/>
      <c r="N6" s="120"/>
      <c r="O6" s="120"/>
      <c r="P6" s="116"/>
      <c r="AG6" s="6">
        <v>1</v>
      </c>
      <c r="AH6" s="6" t="str">
        <f>E4</f>
        <v>Grass Hay (Premium)</v>
      </c>
      <c r="AI6" s="131">
        <f>E6</f>
        <v>250</v>
      </c>
      <c r="AJ6" s="131">
        <f>E8</f>
        <v>2000</v>
      </c>
      <c r="AK6" s="131">
        <f>E10</f>
        <v>0.9</v>
      </c>
      <c r="AL6" s="131">
        <f>E12</f>
        <v>0.13</v>
      </c>
      <c r="AM6" s="131">
        <f>E14</f>
        <v>0.56999999999999995</v>
      </c>
      <c r="AQ6" s="131">
        <f>E18</f>
        <v>4.5</v>
      </c>
      <c r="AR6" s="131">
        <f>E16</f>
        <v>100</v>
      </c>
      <c r="AS6" s="131">
        <f>E20</f>
        <v>20</v>
      </c>
      <c r="AU6" s="131">
        <f>E22</f>
        <v>0.01</v>
      </c>
      <c r="AW6" s="131">
        <f>E24</f>
        <v>1</v>
      </c>
      <c r="AX6" s="131">
        <f>E26</f>
        <v>0.02</v>
      </c>
      <c r="AZ6" s="131">
        <f>E28</f>
        <v>5</v>
      </c>
      <c r="BA6" s="131">
        <f>E30</f>
        <v>0.1</v>
      </c>
    </row>
    <row r="7" spans="2:54" x14ac:dyDescent="0.2">
      <c r="B7" s="175"/>
      <c r="C7" s="124"/>
      <c r="D7" s="108"/>
      <c r="E7" s="178"/>
      <c r="F7" s="108"/>
      <c r="G7" s="108"/>
      <c r="H7" s="19"/>
      <c r="J7" s="121"/>
      <c r="K7" s="113" t="s">
        <v>58</v>
      </c>
      <c r="L7" s="174">
        <f>IF(E8=0,"",IF(E10=0,"",$E$6/$E$8/$E$10))</f>
        <v>0.1388888888888889</v>
      </c>
      <c r="M7" s="115" t="s">
        <v>96</v>
      </c>
      <c r="N7" s="115"/>
      <c r="O7" s="115"/>
      <c r="P7" s="116"/>
      <c r="AI7" s="131"/>
      <c r="AJ7" s="131"/>
      <c r="AK7" s="131"/>
      <c r="AL7" s="131"/>
      <c r="AM7" s="131"/>
      <c r="AQ7" s="131"/>
      <c r="AR7" s="131"/>
      <c r="AS7" s="131"/>
      <c r="AU7" s="131"/>
      <c r="AW7" s="131"/>
      <c r="AX7" s="131"/>
      <c r="AZ7" s="131"/>
      <c r="BA7" s="131"/>
    </row>
    <row r="8" spans="2:54" ht="13.5" thickBot="1" x14ac:dyDescent="0.25">
      <c r="B8" s="175"/>
      <c r="C8" s="124" t="s">
        <v>105</v>
      </c>
      <c r="D8" s="108"/>
      <c r="E8" s="179">
        <v>2000</v>
      </c>
      <c r="F8" s="108" t="s">
        <v>106</v>
      </c>
      <c r="G8" s="108"/>
      <c r="H8" s="19"/>
      <c r="J8" s="127"/>
      <c r="K8" s="128"/>
      <c r="L8" s="129"/>
      <c r="M8" s="128"/>
      <c r="N8" s="128"/>
      <c r="O8" s="128"/>
      <c r="P8" s="130"/>
    </row>
    <row r="9" spans="2:54" x14ac:dyDescent="0.2">
      <c r="B9" s="175"/>
      <c r="C9" s="124"/>
      <c r="D9" s="108"/>
      <c r="E9" s="178"/>
      <c r="F9" s="108"/>
      <c r="G9" s="108"/>
      <c r="H9" s="19"/>
      <c r="L9" s="132"/>
    </row>
    <row r="10" spans="2:54" ht="18.75" thickBot="1" x14ac:dyDescent="0.3">
      <c r="B10" s="175"/>
      <c r="C10" s="124" t="s">
        <v>107</v>
      </c>
      <c r="D10" s="108"/>
      <c r="E10" s="180">
        <v>0.9</v>
      </c>
      <c r="F10" s="243" t="s">
        <v>397</v>
      </c>
      <c r="G10" s="108"/>
      <c r="H10" s="19"/>
      <c r="J10" s="95" t="s">
        <v>108</v>
      </c>
      <c r="L10" s="132"/>
    </row>
    <row r="11" spans="2:54" x14ac:dyDescent="0.2">
      <c r="B11" s="175"/>
      <c r="C11" s="124"/>
      <c r="D11" s="108"/>
      <c r="E11" s="178"/>
      <c r="F11" s="108"/>
      <c r="G11" s="108"/>
      <c r="H11" s="19"/>
      <c r="J11" s="104"/>
      <c r="K11" s="105"/>
      <c r="L11" s="136"/>
      <c r="M11" s="105"/>
      <c r="N11" s="105"/>
      <c r="O11" s="105"/>
      <c r="P11" s="106"/>
    </row>
    <row r="12" spans="2:54" x14ac:dyDescent="0.2">
      <c r="B12" s="175"/>
      <c r="C12" s="124" t="s">
        <v>109</v>
      </c>
      <c r="D12" s="108"/>
      <c r="E12" s="180">
        <v>0.13</v>
      </c>
      <c r="F12" s="243" t="s">
        <v>397</v>
      </c>
      <c r="G12" s="108"/>
      <c r="H12" s="19"/>
      <c r="J12" s="112"/>
      <c r="K12" s="113" t="s">
        <v>58</v>
      </c>
      <c r="L12" s="174">
        <f>IF(E12=0,"",IF(L16="","",L16/E12))</f>
        <v>1.1762928429595099</v>
      </c>
      <c r="M12" s="115" t="s">
        <v>94</v>
      </c>
      <c r="N12" s="115"/>
      <c r="O12" s="115"/>
      <c r="P12" s="116"/>
    </row>
    <row r="13" spans="2:54" x14ac:dyDescent="0.2">
      <c r="B13" s="175"/>
      <c r="C13" s="124"/>
      <c r="D13" s="108"/>
      <c r="E13" s="178"/>
      <c r="F13" s="108"/>
      <c r="G13" s="108"/>
      <c r="H13" s="19"/>
      <c r="J13" s="112"/>
      <c r="K13" s="118"/>
      <c r="L13" s="119"/>
      <c r="M13" s="120"/>
      <c r="N13" s="120"/>
      <c r="O13" s="120"/>
      <c r="P13" s="116"/>
    </row>
    <row r="14" spans="2:54" x14ac:dyDescent="0.2">
      <c r="B14" s="175"/>
      <c r="C14" s="124" t="s">
        <v>110</v>
      </c>
      <c r="D14" s="108"/>
      <c r="E14" s="180">
        <v>0.56999999999999995</v>
      </c>
      <c r="F14" s="243" t="s">
        <v>397</v>
      </c>
      <c r="G14" s="108"/>
      <c r="H14" s="19"/>
      <c r="J14" s="121"/>
      <c r="K14" s="113" t="s">
        <v>58</v>
      </c>
      <c r="L14" s="174">
        <f>IF(E14=0,"",IF(L16="","",L16/E14))</f>
        <v>0.26827731506094088</v>
      </c>
      <c r="M14" s="115" t="s">
        <v>95</v>
      </c>
      <c r="N14" s="115"/>
      <c r="O14" s="115"/>
      <c r="P14" s="116"/>
    </row>
    <row r="15" spans="2:54" x14ac:dyDescent="0.2">
      <c r="B15" s="175"/>
      <c r="C15" s="124"/>
      <c r="D15" s="108"/>
      <c r="E15" s="178"/>
      <c r="F15" s="108"/>
      <c r="G15" s="108"/>
      <c r="H15" s="19"/>
      <c r="J15" s="121"/>
      <c r="K15" s="118"/>
      <c r="L15" s="119"/>
      <c r="M15" s="120"/>
      <c r="N15" s="120"/>
      <c r="O15" s="120"/>
      <c r="P15" s="116"/>
    </row>
    <row r="16" spans="2:54" x14ac:dyDescent="0.2">
      <c r="B16" s="175"/>
      <c r="C16" s="124" t="s">
        <v>111</v>
      </c>
      <c r="D16" s="108"/>
      <c r="E16" s="179">
        <v>100</v>
      </c>
      <c r="F16" s="108" t="s">
        <v>80</v>
      </c>
      <c r="G16" s="108"/>
      <c r="H16" s="19"/>
      <c r="J16" s="121"/>
      <c r="K16" s="113" t="s">
        <v>58</v>
      </c>
      <c r="L16" s="174">
        <f>IF(E8=0,"",IF(E10=0,"",($E$6+$E$16*IF($E$20="",0,IF(E20=0,0,$E$18/E20)))/$E$8/$E$10/(1-$E$22)))</f>
        <v>0.15291806958473628</v>
      </c>
      <c r="M16" s="115" t="s">
        <v>96</v>
      </c>
      <c r="N16" s="115"/>
      <c r="O16" s="115"/>
      <c r="P16" s="116"/>
    </row>
    <row r="17" spans="2:16" ht="13.5" thickBot="1" x14ac:dyDescent="0.25">
      <c r="B17" s="175"/>
      <c r="C17" s="124"/>
      <c r="D17" s="108"/>
      <c r="E17" s="178"/>
      <c r="F17" s="108"/>
      <c r="G17" s="108"/>
      <c r="H17" s="19"/>
      <c r="J17" s="127"/>
      <c r="K17" s="128"/>
      <c r="L17" s="129"/>
      <c r="M17" s="128"/>
      <c r="N17" s="128"/>
      <c r="O17" s="128"/>
      <c r="P17" s="130"/>
    </row>
    <row r="18" spans="2:16" x14ac:dyDescent="0.2">
      <c r="B18" s="175"/>
      <c r="C18" s="124" t="s">
        <v>112</v>
      </c>
      <c r="D18" s="155" t="s">
        <v>58</v>
      </c>
      <c r="E18" s="177">
        <v>4.5</v>
      </c>
      <c r="F18" s="108" t="s">
        <v>82</v>
      </c>
      <c r="G18" s="108"/>
      <c r="H18" s="19"/>
      <c r="L18" s="132"/>
    </row>
    <row r="19" spans="2:16" ht="18.75" thickBot="1" x14ac:dyDescent="0.3">
      <c r="B19" s="175"/>
      <c r="C19" s="124"/>
      <c r="D19" s="108"/>
      <c r="E19" s="178"/>
      <c r="F19" s="108"/>
      <c r="G19" s="108"/>
      <c r="H19" s="19"/>
      <c r="J19" s="95" t="s">
        <v>113</v>
      </c>
      <c r="L19" s="132"/>
    </row>
    <row r="20" spans="2:16" x14ac:dyDescent="0.2">
      <c r="B20" s="175"/>
      <c r="C20" s="124" t="str">
        <f>CONCATENATE("How many ",$F$20,"s are hauled per load?")</f>
        <v>How many tons are hauled per load?</v>
      </c>
      <c r="D20" s="108"/>
      <c r="E20" s="179">
        <v>20</v>
      </c>
      <c r="F20" s="108" t="str">
        <f>IF(E8=2000,"ton",IF(E8=100,"hundredweight",IF(E8&gt;31,IF(E8&lt;71,"bushel","unit"),"unit")))</f>
        <v>ton</v>
      </c>
      <c r="G20" s="108"/>
      <c r="H20" s="19"/>
      <c r="J20" s="104"/>
      <c r="K20" s="105"/>
      <c r="L20" s="136"/>
      <c r="M20" s="105"/>
      <c r="N20" s="105"/>
      <c r="O20" s="105"/>
      <c r="P20" s="106"/>
    </row>
    <row r="21" spans="2:16" x14ac:dyDescent="0.2">
      <c r="B21" s="175"/>
      <c r="C21" s="124"/>
      <c r="D21" s="108"/>
      <c r="E21" s="178"/>
      <c r="F21" s="108"/>
      <c r="G21" s="108"/>
      <c r="H21" s="19"/>
      <c r="J21" s="112"/>
      <c r="K21" s="113" t="s">
        <v>58</v>
      </c>
      <c r="L21" s="174">
        <f>IF(E12=0,"",IF(L25="","",L25/E12))</f>
        <v>1.2046595379928713</v>
      </c>
      <c r="M21" s="115" t="s">
        <v>94</v>
      </c>
      <c r="N21" s="115"/>
      <c r="O21" s="115"/>
      <c r="P21" s="116"/>
    </row>
    <row r="22" spans="2:16" x14ac:dyDescent="0.2">
      <c r="B22" s="175"/>
      <c r="C22" s="124" t="s">
        <v>114</v>
      </c>
      <c r="D22" s="108"/>
      <c r="E22" s="180">
        <v>0.01</v>
      </c>
      <c r="F22" s="108"/>
      <c r="G22" s="108"/>
      <c r="H22" s="19"/>
      <c r="J22" s="112"/>
      <c r="K22" s="118"/>
      <c r="L22" s="119"/>
      <c r="M22" s="120"/>
      <c r="N22" s="120"/>
      <c r="O22" s="120"/>
      <c r="P22" s="116"/>
    </row>
    <row r="23" spans="2:16" x14ac:dyDescent="0.2">
      <c r="B23" s="175"/>
      <c r="C23" s="124"/>
      <c r="D23" s="108"/>
      <c r="E23" s="178"/>
      <c r="F23" s="108"/>
      <c r="G23" s="108"/>
      <c r="H23" s="19"/>
      <c r="J23" s="121"/>
      <c r="K23" s="113" t="s">
        <v>58</v>
      </c>
      <c r="L23" s="174">
        <f>IF(E14=0,"",IF(L25="","",L25/E14))</f>
        <v>0.27474691217381281</v>
      </c>
      <c r="M23" s="115" t="s">
        <v>95</v>
      </c>
      <c r="N23" s="115"/>
      <c r="O23" s="115"/>
      <c r="P23" s="116"/>
    </row>
    <row r="24" spans="2:16" x14ac:dyDescent="0.2">
      <c r="B24" s="175"/>
      <c r="C24" s="124" t="s">
        <v>115</v>
      </c>
      <c r="D24" s="155" t="s">
        <v>58</v>
      </c>
      <c r="E24" s="177">
        <v>1</v>
      </c>
      <c r="F24" s="108" t="str">
        <f>CONCATENATE("per ",$F$20)</f>
        <v>per ton</v>
      </c>
      <c r="G24" s="108"/>
      <c r="H24" s="19"/>
      <c r="J24" s="121"/>
      <c r="K24" s="118"/>
      <c r="L24" s="119"/>
      <c r="M24" s="120"/>
      <c r="N24" s="120"/>
      <c r="O24" s="120"/>
      <c r="P24" s="116"/>
    </row>
    <row r="25" spans="2:16" x14ac:dyDescent="0.2">
      <c r="B25" s="175"/>
      <c r="C25" s="124"/>
      <c r="D25" s="108"/>
      <c r="E25" s="178"/>
      <c r="F25" s="108"/>
      <c r="G25" s="108"/>
      <c r="H25" s="19"/>
      <c r="J25" s="121"/>
      <c r="K25" s="113" t="s">
        <v>58</v>
      </c>
      <c r="L25" s="174">
        <f>IF(E8=0,"",IF(E10=0,"",IF(E20=0,"",(E6+E16*E18/E20+E24*(1-E22))/E8/E10/(1-E22)/(1-E26))))</f>
        <v>0.15660573993907329</v>
      </c>
      <c r="M25" s="115" t="s">
        <v>96</v>
      </c>
      <c r="N25" s="115"/>
      <c r="O25" s="115"/>
      <c r="P25" s="116"/>
    </row>
    <row r="26" spans="2:16" ht="13.5" thickBot="1" x14ac:dyDescent="0.25">
      <c r="B26" s="175"/>
      <c r="C26" s="124" t="s">
        <v>116</v>
      </c>
      <c r="D26" s="108"/>
      <c r="E26" s="180">
        <v>0.02</v>
      </c>
      <c r="F26" s="108"/>
      <c r="G26" s="108"/>
      <c r="H26" s="19"/>
      <c r="J26" s="127"/>
      <c r="K26" s="128"/>
      <c r="L26" s="129"/>
      <c r="M26" s="128"/>
      <c r="N26" s="128"/>
      <c r="O26" s="128"/>
      <c r="P26" s="130"/>
    </row>
    <row r="27" spans="2:16" x14ac:dyDescent="0.2">
      <c r="B27" s="175"/>
      <c r="C27" s="124"/>
      <c r="D27" s="108"/>
      <c r="E27" s="178"/>
      <c r="F27" s="108"/>
      <c r="G27" s="108"/>
      <c r="H27" s="19"/>
      <c r="L27" s="132"/>
    </row>
    <row r="28" spans="2:16" ht="18.75" thickBot="1" x14ac:dyDescent="0.3">
      <c r="B28" s="175"/>
      <c r="C28" s="124" t="s">
        <v>117</v>
      </c>
      <c r="D28" s="155" t="s">
        <v>58</v>
      </c>
      <c r="E28" s="177">
        <v>5</v>
      </c>
      <c r="F28" s="108" t="str">
        <f>CONCATENATE("per ",$F$20)</f>
        <v>per ton</v>
      </c>
      <c r="G28" s="108"/>
      <c r="H28" s="19"/>
      <c r="J28" s="95" t="s">
        <v>118</v>
      </c>
      <c r="L28" s="132"/>
    </row>
    <row r="29" spans="2:16" x14ac:dyDescent="0.2">
      <c r="B29" s="175"/>
      <c r="C29" s="124"/>
      <c r="D29" s="108"/>
      <c r="E29" s="178"/>
      <c r="F29" s="108"/>
      <c r="G29" s="108"/>
      <c r="H29" s="19"/>
      <c r="J29" s="104"/>
      <c r="K29" s="105"/>
      <c r="L29" s="136"/>
      <c r="M29" s="105"/>
      <c r="N29" s="105"/>
      <c r="O29" s="105"/>
      <c r="P29" s="106"/>
    </row>
    <row r="30" spans="2:16" x14ac:dyDescent="0.2">
      <c r="B30" s="175"/>
      <c r="C30" s="124" t="s">
        <v>119</v>
      </c>
      <c r="D30" s="108"/>
      <c r="E30" s="180">
        <v>0.1</v>
      </c>
      <c r="F30" s="108"/>
      <c r="G30" s="108"/>
      <c r="H30" s="19"/>
      <c r="J30" s="112"/>
      <c r="K30" s="113" t="s">
        <v>58</v>
      </c>
      <c r="L30" s="174">
        <f>IF(E12=0,"",IF(L34=0,0,L34/E12))</f>
        <v>1.362252288178214</v>
      </c>
      <c r="M30" s="115" t="s">
        <v>94</v>
      </c>
      <c r="N30" s="115"/>
      <c r="O30" s="115"/>
      <c r="P30" s="116"/>
    </row>
    <row r="31" spans="2:16" ht="13.5" thickBot="1" x14ac:dyDescent="0.25">
      <c r="B31" s="36"/>
      <c r="C31" s="37"/>
      <c r="D31" s="37"/>
      <c r="E31" s="37"/>
      <c r="F31" s="37"/>
      <c r="G31" s="37"/>
      <c r="H31" s="38"/>
      <c r="J31" s="112"/>
      <c r="K31" s="118"/>
      <c r="L31" s="119"/>
      <c r="M31" s="120"/>
      <c r="N31" s="120"/>
      <c r="O31" s="120"/>
      <c r="P31" s="116"/>
    </row>
    <row r="32" spans="2:16" ht="13.5" thickBot="1" x14ac:dyDescent="0.25">
      <c r="J32" s="121"/>
      <c r="K32" s="113" t="s">
        <v>58</v>
      </c>
      <c r="L32" s="174">
        <f>IF(E14=0,"",IF(L34=0,0,L34/E14))</f>
        <v>0.31068911835643481</v>
      </c>
      <c r="M32" s="115" t="s">
        <v>95</v>
      </c>
      <c r="N32" s="115"/>
      <c r="O32" s="115"/>
      <c r="P32" s="116"/>
    </row>
    <row r="33" spans="2:16" x14ac:dyDescent="0.2">
      <c r="B33" s="104"/>
      <c r="C33" s="105"/>
      <c r="D33" s="105"/>
      <c r="E33" s="105"/>
      <c r="F33" s="105"/>
      <c r="G33" s="105"/>
      <c r="H33" s="106"/>
      <c r="J33" s="121"/>
      <c r="K33" s="118"/>
      <c r="L33" s="119"/>
      <c r="M33" s="120"/>
      <c r="N33" s="120"/>
      <c r="O33" s="120"/>
      <c r="P33" s="116"/>
    </row>
    <row r="34" spans="2:16" ht="18" x14ac:dyDescent="0.25">
      <c r="B34" s="121"/>
      <c r="C34" s="236" t="s">
        <v>160</v>
      </c>
      <c r="D34" s="120"/>
      <c r="E34" s="249">
        <f>IF(L34=0,0,L34*E10)</f>
        <v>0.15938351771685105</v>
      </c>
      <c r="F34" s="249"/>
      <c r="G34" s="249"/>
      <c r="H34" s="250"/>
      <c r="J34" s="121"/>
      <c r="K34" s="113" t="s">
        <v>58</v>
      </c>
      <c r="L34" s="174">
        <f>IF(E8=0,0,IF(E10=0,0,IF(E20=0,0,(E6+E16*E18/E20+E24*(1-E22)+E28*(1-E22)*(1-E26))/E8/E10/(1-E22)/(1-E26)/(1-E30))))</f>
        <v>0.17709279746316783</v>
      </c>
      <c r="M34" s="115" t="s">
        <v>96</v>
      </c>
      <c r="N34" s="115"/>
      <c r="O34" s="115"/>
      <c r="P34" s="116"/>
    </row>
    <row r="35" spans="2:16" ht="13.5" thickBot="1" x14ac:dyDescent="0.25">
      <c r="B35" s="127"/>
      <c r="C35" s="128"/>
      <c r="D35" s="128"/>
      <c r="E35" s="128"/>
      <c r="F35" s="128"/>
      <c r="G35" s="128"/>
      <c r="H35" s="130"/>
      <c r="J35" s="127"/>
      <c r="K35" s="128"/>
      <c r="L35" s="128"/>
      <c r="M35" s="128"/>
      <c r="N35" s="128"/>
      <c r="O35" s="128"/>
      <c r="P35" s="130"/>
    </row>
    <row r="37" spans="2:16" x14ac:dyDescent="0.2">
      <c r="B37" s="244" t="s">
        <v>397</v>
      </c>
      <c r="C37" s="245" t="s">
        <v>398</v>
      </c>
      <c r="D37" s="246"/>
      <c r="E37" s="246"/>
    </row>
  </sheetData>
  <sheetProtection sheet="1" objects="1" scenarios="1"/>
  <mergeCells count="3">
    <mergeCell ref="E4:G4"/>
    <mergeCell ref="E34:F34"/>
    <mergeCell ref="G34:H34"/>
  </mergeCells>
  <phoneticPr fontId="2" type="noConversion"/>
  <dataValidations count="4">
    <dataValidation type="decimal" operator="greaterThanOrEqual" allowBlank="1" showInputMessage="1" showErrorMessage="1" sqref="E9 E11 E17 E29 E27 E25 E23 E21 E19 E15 E7">
      <formula1>0</formula1>
    </dataValidation>
    <dataValidation type="decimal" operator="greaterThan" allowBlank="1" showInputMessage="1" showErrorMessage="1" sqref="E13">
      <formula1>0</formula1>
    </dataValidation>
    <dataValidation type="decimal" operator="greaterThan" allowBlank="1" showInputMessage="1" showErrorMessage="1" errorTitle="Restricted Data Entry" error="Only numbers greater than zero can be entered into this cell." sqref="E8 E10 E12 E14">
      <formula1>0</formula1>
    </dataValidation>
    <dataValidation type="decimal" operator="greaterThanOrEqual" allowBlank="1" showInputMessage="1" showErrorMessage="1" errorTitle="Restricted Data Entry" error="Only numbers greater than or equal to zero can be entered into this cell." sqref="E6 E16 E18 E20 E22 E24 E26 E28 E30">
      <formula1>0</formula1>
    </dataValidation>
  </dataValidations>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BB37"/>
  <sheetViews>
    <sheetView workbookViewId="0"/>
  </sheetViews>
  <sheetFormatPr defaultRowHeight="12.75" x14ac:dyDescent="0.2"/>
  <cols>
    <col min="1" max="1" width="4" style="6" customWidth="1"/>
    <col min="2" max="2" width="4.42578125" style="6" customWidth="1"/>
    <col min="3" max="3" width="36.85546875" style="6" customWidth="1"/>
    <col min="4" max="4" width="9.140625" style="6"/>
    <col min="5" max="5" width="10.7109375" style="6" customWidth="1"/>
    <col min="6" max="7" width="9.140625" style="6"/>
    <col min="8" max="9" width="4.85546875" style="6" customWidth="1"/>
    <col min="10" max="10" width="4.5703125" style="6" customWidth="1"/>
    <col min="11" max="11" width="3.7109375" style="6" customWidth="1"/>
    <col min="12" max="12" width="9.5703125" style="6" bestFit="1" customWidth="1"/>
    <col min="13" max="13" width="9.140625" style="6"/>
    <col min="14" max="14" width="13.7109375" style="6" bestFit="1" customWidth="1"/>
    <col min="15" max="15" width="13.7109375" style="6" customWidth="1"/>
    <col min="16" max="16" width="4.5703125" style="6" customWidth="1"/>
    <col min="17" max="17" width="19.28515625" style="6" bestFit="1" customWidth="1"/>
    <col min="18" max="16384" width="9.140625" style="6"/>
  </cols>
  <sheetData>
    <row r="1" spans="2:54" ht="18.75" thickBot="1" x14ac:dyDescent="0.3">
      <c r="B1" s="6">
        <v>2</v>
      </c>
      <c r="J1" s="95" t="s">
        <v>97</v>
      </c>
    </row>
    <row r="2" spans="2:54" ht="18.75" thickBot="1" x14ac:dyDescent="0.3">
      <c r="B2" s="95" t="s">
        <v>98</v>
      </c>
      <c r="J2" s="104"/>
      <c r="K2" s="105"/>
      <c r="L2" s="105"/>
      <c r="M2" s="105"/>
      <c r="N2" s="105"/>
      <c r="O2" s="105"/>
      <c r="P2" s="106"/>
    </row>
    <row r="3" spans="2:54" x14ac:dyDescent="0.2">
      <c r="B3" s="173"/>
      <c r="C3" s="97"/>
      <c r="D3" s="97"/>
      <c r="E3" s="97"/>
      <c r="F3" s="97"/>
      <c r="G3" s="97"/>
      <c r="H3" s="52"/>
      <c r="J3" s="112"/>
      <c r="K3" s="113" t="s">
        <v>58</v>
      </c>
      <c r="L3" s="174">
        <f>IF(E12=0,"",IF(L7="","",L7/E12))</f>
        <v>1.0101010101010102</v>
      </c>
      <c r="M3" s="115" t="s">
        <v>94</v>
      </c>
      <c r="N3" s="115"/>
      <c r="O3" s="115"/>
      <c r="P3" s="116"/>
    </row>
    <row r="4" spans="2:54" x14ac:dyDescent="0.2">
      <c r="B4" s="175"/>
      <c r="C4" s="124" t="s">
        <v>99</v>
      </c>
      <c r="D4" s="108"/>
      <c r="E4" s="248" t="s">
        <v>140</v>
      </c>
      <c r="F4" s="248"/>
      <c r="G4" s="248"/>
      <c r="H4" s="176"/>
      <c r="I4" s="123"/>
      <c r="J4" s="112"/>
      <c r="K4" s="118"/>
      <c r="L4" s="119"/>
      <c r="M4" s="120"/>
      <c r="N4" s="120"/>
      <c r="O4" s="120"/>
      <c r="P4" s="116"/>
      <c r="AH4" s="6" t="s">
        <v>6</v>
      </c>
      <c r="AI4" s="6" t="s">
        <v>30</v>
      </c>
      <c r="AJ4" s="6" t="s">
        <v>100</v>
      </c>
      <c r="AK4" s="6" t="s">
        <v>33</v>
      </c>
      <c r="AL4" s="6" t="s">
        <v>101</v>
      </c>
      <c r="AM4" s="6" t="s">
        <v>102</v>
      </c>
      <c r="AQ4" s="6" t="s">
        <v>41</v>
      </c>
      <c r="AR4" s="6" t="s">
        <v>80</v>
      </c>
      <c r="AS4" s="6" t="s">
        <v>42</v>
      </c>
      <c r="AU4" s="6" t="s">
        <v>44</v>
      </c>
      <c r="AW4" s="6" t="s">
        <v>30</v>
      </c>
      <c r="AX4" s="6" t="s">
        <v>44</v>
      </c>
      <c r="AZ4" s="6" t="s">
        <v>30</v>
      </c>
      <c r="BA4" s="6" t="s">
        <v>44</v>
      </c>
      <c r="BB4" s="6" t="s">
        <v>103</v>
      </c>
    </row>
    <row r="5" spans="2:54" x14ac:dyDescent="0.2">
      <c r="B5" s="175"/>
      <c r="C5" s="124"/>
      <c r="D5" s="108"/>
      <c r="E5" s="108"/>
      <c r="F5" s="108"/>
      <c r="G5" s="108"/>
      <c r="H5" s="19"/>
      <c r="I5" s="123"/>
      <c r="J5" s="121"/>
      <c r="K5" s="113" t="s">
        <v>58</v>
      </c>
      <c r="L5" s="174">
        <f>IF(E14=0,"",IF(L7="","",L7/E14))</f>
        <v>0.22222222222222224</v>
      </c>
      <c r="M5" s="115" t="s">
        <v>95</v>
      </c>
      <c r="N5" s="115"/>
      <c r="O5" s="115"/>
      <c r="P5" s="116"/>
    </row>
    <row r="6" spans="2:54" x14ac:dyDescent="0.2">
      <c r="B6" s="175"/>
      <c r="C6" s="124" t="s">
        <v>104</v>
      </c>
      <c r="D6" s="155" t="s">
        <v>58</v>
      </c>
      <c r="E6" s="177">
        <v>200</v>
      </c>
      <c r="F6" s="108"/>
      <c r="G6" s="108"/>
      <c r="H6" s="19"/>
      <c r="J6" s="121"/>
      <c r="K6" s="118"/>
      <c r="L6" s="119"/>
      <c r="M6" s="120"/>
      <c r="N6" s="120"/>
      <c r="O6" s="120"/>
      <c r="P6" s="116"/>
      <c r="AG6" s="6">
        <v>1</v>
      </c>
      <c r="AH6" s="6" t="str">
        <f>E4</f>
        <v>Grass Hay</v>
      </c>
      <c r="AI6" s="131">
        <f>E6</f>
        <v>200</v>
      </c>
      <c r="AJ6" s="131">
        <f>E8</f>
        <v>2000</v>
      </c>
      <c r="AK6" s="131">
        <f>E10</f>
        <v>0.9</v>
      </c>
      <c r="AL6" s="131">
        <f>E12</f>
        <v>0.11</v>
      </c>
      <c r="AM6" s="131">
        <f>E14</f>
        <v>0.5</v>
      </c>
      <c r="AQ6" s="131">
        <f>E18</f>
        <v>4.5</v>
      </c>
      <c r="AR6" s="131">
        <f>E16</f>
        <v>50</v>
      </c>
      <c r="AS6" s="131">
        <f>E20</f>
        <v>20</v>
      </c>
      <c r="AU6" s="131">
        <f>E22</f>
        <v>0.01</v>
      </c>
      <c r="AW6" s="131">
        <f>E24</f>
        <v>1</v>
      </c>
      <c r="AX6" s="131">
        <f>E26</f>
        <v>0.02</v>
      </c>
      <c r="AZ6" s="131">
        <f>E28</f>
        <v>5</v>
      </c>
      <c r="BA6" s="131">
        <f>E30</f>
        <v>0.15</v>
      </c>
    </row>
    <row r="7" spans="2:54" x14ac:dyDescent="0.2">
      <c r="B7" s="175"/>
      <c r="C7" s="124"/>
      <c r="D7" s="108"/>
      <c r="E7" s="178"/>
      <c r="F7" s="108"/>
      <c r="G7" s="108"/>
      <c r="H7" s="19"/>
      <c r="J7" s="121"/>
      <c r="K7" s="113" t="s">
        <v>58</v>
      </c>
      <c r="L7" s="174">
        <f>IF(E8=0,"",IF(E10=0,"",$E$6/$E$8/$E$10))</f>
        <v>0.11111111111111112</v>
      </c>
      <c r="M7" s="115" t="s">
        <v>96</v>
      </c>
      <c r="N7" s="115"/>
      <c r="O7" s="115"/>
      <c r="P7" s="116"/>
      <c r="AI7" s="131"/>
      <c r="AJ7" s="131"/>
      <c r="AK7" s="131"/>
      <c r="AL7" s="131"/>
      <c r="AM7" s="131"/>
      <c r="AQ7" s="131"/>
      <c r="AR7" s="131"/>
      <c r="AS7" s="131"/>
      <c r="AU7" s="131"/>
      <c r="AW7" s="131"/>
      <c r="AX7" s="131"/>
      <c r="AZ7" s="131"/>
      <c r="BA7" s="131"/>
    </row>
    <row r="8" spans="2:54" ht="13.5" thickBot="1" x14ac:dyDescent="0.25">
      <c r="B8" s="175"/>
      <c r="C8" s="124" t="s">
        <v>105</v>
      </c>
      <c r="D8" s="108"/>
      <c r="E8" s="179">
        <v>2000</v>
      </c>
      <c r="F8" s="108" t="s">
        <v>106</v>
      </c>
      <c r="G8" s="108"/>
      <c r="H8" s="19"/>
      <c r="J8" s="127"/>
      <c r="K8" s="128"/>
      <c r="L8" s="129"/>
      <c r="M8" s="128"/>
      <c r="N8" s="128"/>
      <c r="O8" s="128"/>
      <c r="P8" s="130"/>
    </row>
    <row r="9" spans="2:54" x14ac:dyDescent="0.2">
      <c r="B9" s="175"/>
      <c r="C9" s="124"/>
      <c r="D9" s="108"/>
      <c r="E9" s="178"/>
      <c r="F9" s="108"/>
      <c r="G9" s="108"/>
      <c r="H9" s="19"/>
      <c r="L9" s="132"/>
    </row>
    <row r="10" spans="2:54" ht="18.75" thickBot="1" x14ac:dyDescent="0.3">
      <c r="B10" s="175"/>
      <c r="C10" s="124" t="s">
        <v>107</v>
      </c>
      <c r="D10" s="108"/>
      <c r="E10" s="180">
        <v>0.9</v>
      </c>
      <c r="F10" s="243" t="s">
        <v>397</v>
      </c>
      <c r="G10" s="108"/>
      <c r="H10" s="19"/>
      <c r="J10" s="95" t="s">
        <v>108</v>
      </c>
      <c r="L10" s="132"/>
    </row>
    <row r="11" spans="2:54" x14ac:dyDescent="0.2">
      <c r="B11" s="175"/>
      <c r="C11" s="124"/>
      <c r="D11" s="108"/>
      <c r="E11" s="178"/>
      <c r="F11" s="108"/>
      <c r="G11" s="108"/>
      <c r="H11" s="19"/>
      <c r="J11" s="104"/>
      <c r="K11" s="105"/>
      <c r="L11" s="136"/>
      <c r="M11" s="105"/>
      <c r="N11" s="105"/>
      <c r="O11" s="105"/>
      <c r="P11" s="106"/>
    </row>
    <row r="12" spans="2:54" x14ac:dyDescent="0.2">
      <c r="B12" s="175"/>
      <c r="C12" s="124" t="s">
        <v>109</v>
      </c>
      <c r="D12" s="108"/>
      <c r="E12" s="180">
        <v>0.11</v>
      </c>
      <c r="F12" s="243" t="s">
        <v>397</v>
      </c>
      <c r="G12" s="108"/>
      <c r="H12" s="19"/>
      <c r="J12" s="112"/>
      <c r="K12" s="113" t="s">
        <v>58</v>
      </c>
      <c r="L12" s="174">
        <f>IF(E12=0,"",IF(L16="","",L16/E12))</f>
        <v>1.0776961534537293</v>
      </c>
      <c r="M12" s="115" t="s">
        <v>94</v>
      </c>
      <c r="N12" s="115"/>
      <c r="O12" s="115"/>
      <c r="P12" s="116"/>
    </row>
    <row r="13" spans="2:54" x14ac:dyDescent="0.2">
      <c r="B13" s="175"/>
      <c r="C13" s="124"/>
      <c r="D13" s="108"/>
      <c r="E13" s="178"/>
      <c r="F13" s="108"/>
      <c r="G13" s="108"/>
      <c r="H13" s="19"/>
      <c r="J13" s="112"/>
      <c r="K13" s="118"/>
      <c r="L13" s="119"/>
      <c r="M13" s="120"/>
      <c r="N13" s="120"/>
      <c r="O13" s="120"/>
      <c r="P13" s="116"/>
    </row>
    <row r="14" spans="2:54" x14ac:dyDescent="0.2">
      <c r="B14" s="175"/>
      <c r="C14" s="124" t="s">
        <v>110</v>
      </c>
      <c r="D14" s="108"/>
      <c r="E14" s="180">
        <v>0.5</v>
      </c>
      <c r="F14" s="243" t="s">
        <v>397</v>
      </c>
      <c r="G14" s="108"/>
      <c r="H14" s="19"/>
      <c r="J14" s="121"/>
      <c r="K14" s="113" t="s">
        <v>58</v>
      </c>
      <c r="L14" s="174">
        <f>IF(E14=0,"",IF(L16="","",L16/E14))</f>
        <v>0.23709315375982043</v>
      </c>
      <c r="M14" s="115" t="s">
        <v>95</v>
      </c>
      <c r="N14" s="115"/>
      <c r="O14" s="115"/>
      <c r="P14" s="116"/>
    </row>
    <row r="15" spans="2:54" x14ac:dyDescent="0.2">
      <c r="B15" s="175"/>
      <c r="C15" s="124"/>
      <c r="D15" s="108"/>
      <c r="E15" s="178"/>
      <c r="F15" s="108"/>
      <c r="G15" s="108"/>
      <c r="H15" s="19"/>
      <c r="J15" s="121"/>
      <c r="K15" s="118"/>
      <c r="L15" s="119"/>
      <c r="M15" s="120"/>
      <c r="N15" s="120"/>
      <c r="O15" s="120"/>
      <c r="P15" s="116"/>
    </row>
    <row r="16" spans="2:54" x14ac:dyDescent="0.2">
      <c r="B16" s="175"/>
      <c r="C16" s="124" t="s">
        <v>111</v>
      </c>
      <c r="D16" s="108"/>
      <c r="E16" s="179">
        <v>50</v>
      </c>
      <c r="F16" s="108" t="s">
        <v>80</v>
      </c>
      <c r="G16" s="108"/>
      <c r="H16" s="19"/>
      <c r="J16" s="121"/>
      <c r="K16" s="113" t="s">
        <v>58</v>
      </c>
      <c r="L16" s="174">
        <f>IF(E8=0,"",IF(E10=0,"",($E$6+$E$16*IF($E$20="",0,IF(E20=0,0,$E$18/E20)))/$E$8/$E$10/(1-$E$22)))</f>
        <v>0.11854657687991021</v>
      </c>
      <c r="M16" s="115" t="s">
        <v>96</v>
      </c>
      <c r="N16" s="115"/>
      <c r="O16" s="115"/>
      <c r="P16" s="116"/>
    </row>
    <row r="17" spans="2:16" ht="13.5" thickBot="1" x14ac:dyDescent="0.25">
      <c r="B17" s="175"/>
      <c r="C17" s="124"/>
      <c r="D17" s="108"/>
      <c r="E17" s="178"/>
      <c r="F17" s="108"/>
      <c r="G17" s="108"/>
      <c r="H17" s="19"/>
      <c r="J17" s="127"/>
      <c r="K17" s="128"/>
      <c r="L17" s="129"/>
      <c r="M17" s="128"/>
      <c r="N17" s="128"/>
      <c r="O17" s="128"/>
      <c r="P17" s="130"/>
    </row>
    <row r="18" spans="2:16" x14ac:dyDescent="0.2">
      <c r="B18" s="175"/>
      <c r="C18" s="124" t="s">
        <v>112</v>
      </c>
      <c r="D18" s="155" t="s">
        <v>58</v>
      </c>
      <c r="E18" s="177">
        <v>4.5</v>
      </c>
      <c r="F18" s="108" t="s">
        <v>82</v>
      </c>
      <c r="G18" s="108"/>
      <c r="H18" s="19"/>
      <c r="L18" s="132"/>
    </row>
    <row r="19" spans="2:16" ht="18.75" thickBot="1" x14ac:dyDescent="0.3">
      <c r="B19" s="175"/>
      <c r="C19" s="124"/>
      <c r="D19" s="108"/>
      <c r="E19" s="178"/>
      <c r="F19" s="108"/>
      <c r="G19" s="108"/>
      <c r="H19" s="19"/>
      <c r="J19" s="95" t="s">
        <v>113</v>
      </c>
      <c r="L19" s="132"/>
    </row>
    <row r="20" spans="2:16" x14ac:dyDescent="0.2">
      <c r="B20" s="175"/>
      <c r="C20" s="124" t="str">
        <f>CONCATENATE("How many ",$F$20,"s are hauled per load?")</f>
        <v>How many tons are hauled per load?</v>
      </c>
      <c r="D20" s="108"/>
      <c r="E20" s="179">
        <v>20</v>
      </c>
      <c r="F20" s="108" t="str">
        <f>IF(E8=2000,"ton",IF(E8=100,"hundredweight",IF(E8&gt;31,IF(E8&lt;71,"bushel","unit"),"unit")))</f>
        <v>ton</v>
      </c>
      <c r="G20" s="108"/>
      <c r="H20" s="19"/>
      <c r="J20" s="104"/>
      <c r="K20" s="105"/>
      <c r="L20" s="136"/>
      <c r="M20" s="105"/>
      <c r="N20" s="105"/>
      <c r="O20" s="105"/>
      <c r="P20" s="106"/>
    </row>
    <row r="21" spans="2:16" x14ac:dyDescent="0.2">
      <c r="B21" s="175"/>
      <c r="C21" s="124"/>
      <c r="D21" s="108"/>
      <c r="E21" s="178"/>
      <c r="F21" s="108"/>
      <c r="G21" s="108"/>
      <c r="H21" s="19"/>
      <c r="J21" s="112"/>
      <c r="K21" s="113" t="s">
        <v>58</v>
      </c>
      <c r="L21" s="174">
        <f>IF(E12=0,"",IF(L25="","",L25/E12))</f>
        <v>1.1048435290859533</v>
      </c>
      <c r="M21" s="115" t="s">
        <v>94</v>
      </c>
      <c r="N21" s="115"/>
      <c r="O21" s="115"/>
      <c r="P21" s="116"/>
    </row>
    <row r="22" spans="2:16" x14ac:dyDescent="0.2">
      <c r="B22" s="175"/>
      <c r="C22" s="124" t="s">
        <v>114</v>
      </c>
      <c r="D22" s="108"/>
      <c r="E22" s="180">
        <v>0.01</v>
      </c>
      <c r="F22" s="108"/>
      <c r="G22" s="108"/>
      <c r="H22" s="19"/>
      <c r="J22" s="112"/>
      <c r="K22" s="118"/>
      <c r="L22" s="119"/>
      <c r="M22" s="120"/>
      <c r="N22" s="120"/>
      <c r="O22" s="120"/>
      <c r="P22" s="116"/>
    </row>
    <row r="23" spans="2:16" x14ac:dyDescent="0.2">
      <c r="B23" s="175"/>
      <c r="C23" s="124"/>
      <c r="D23" s="108"/>
      <c r="E23" s="178"/>
      <c r="F23" s="108"/>
      <c r="G23" s="108"/>
      <c r="H23" s="19"/>
      <c r="J23" s="121"/>
      <c r="K23" s="113" t="s">
        <v>58</v>
      </c>
      <c r="L23" s="174">
        <f>IF(E14=0,"",IF(L25="","",L25/E14))</f>
        <v>0.24306557639890974</v>
      </c>
      <c r="M23" s="115" t="s">
        <v>95</v>
      </c>
      <c r="N23" s="115"/>
      <c r="O23" s="115"/>
      <c r="P23" s="116"/>
    </row>
    <row r="24" spans="2:16" x14ac:dyDescent="0.2">
      <c r="B24" s="175"/>
      <c r="C24" s="124" t="s">
        <v>115</v>
      </c>
      <c r="D24" s="155" t="s">
        <v>58</v>
      </c>
      <c r="E24" s="177">
        <v>1</v>
      </c>
      <c r="F24" s="108" t="str">
        <f>CONCATENATE("per ",$F$20)</f>
        <v>per ton</v>
      </c>
      <c r="G24" s="108"/>
      <c r="H24" s="19"/>
      <c r="J24" s="121"/>
      <c r="K24" s="118"/>
      <c r="L24" s="119"/>
      <c r="M24" s="120"/>
      <c r="N24" s="120"/>
      <c r="O24" s="120"/>
      <c r="P24" s="116"/>
    </row>
    <row r="25" spans="2:16" x14ac:dyDescent="0.2">
      <c r="B25" s="175"/>
      <c r="C25" s="124"/>
      <c r="D25" s="108"/>
      <c r="E25" s="178"/>
      <c r="F25" s="108"/>
      <c r="G25" s="108"/>
      <c r="H25" s="19"/>
      <c r="J25" s="121"/>
      <c r="K25" s="113" t="s">
        <v>58</v>
      </c>
      <c r="L25" s="174">
        <f>IF(E8=0,"",IF(E10=0,"",IF(E20=0,"",(E6+E16*E18/E20+E24*(1-E22))/E8/E10/(1-E22)/(1-E26))))</f>
        <v>0.12153278819945487</v>
      </c>
      <c r="M25" s="115" t="s">
        <v>96</v>
      </c>
      <c r="N25" s="115"/>
      <c r="O25" s="115"/>
      <c r="P25" s="116"/>
    </row>
    <row r="26" spans="2:16" ht="13.5" thickBot="1" x14ac:dyDescent="0.25">
      <c r="B26" s="175"/>
      <c r="C26" s="124" t="s">
        <v>116</v>
      </c>
      <c r="D26" s="108"/>
      <c r="E26" s="180">
        <v>0.02</v>
      </c>
      <c r="F26" s="108"/>
      <c r="G26" s="108"/>
      <c r="H26" s="19"/>
      <c r="J26" s="127"/>
      <c r="K26" s="128"/>
      <c r="L26" s="129"/>
      <c r="M26" s="128"/>
      <c r="N26" s="128"/>
      <c r="O26" s="128"/>
      <c r="P26" s="130"/>
    </row>
    <row r="27" spans="2:16" x14ac:dyDescent="0.2">
      <c r="B27" s="175"/>
      <c r="C27" s="124"/>
      <c r="D27" s="108"/>
      <c r="E27" s="178"/>
      <c r="F27" s="108"/>
      <c r="G27" s="108"/>
      <c r="H27" s="19"/>
      <c r="L27" s="132"/>
    </row>
    <row r="28" spans="2:16" ht="18.75" thickBot="1" x14ac:dyDescent="0.3">
      <c r="B28" s="175"/>
      <c r="C28" s="124" t="s">
        <v>117</v>
      </c>
      <c r="D28" s="155" t="s">
        <v>58</v>
      </c>
      <c r="E28" s="177">
        <v>5</v>
      </c>
      <c r="F28" s="108" t="str">
        <f>CONCATENATE("per ",$F$20)</f>
        <v>per ton</v>
      </c>
      <c r="G28" s="108"/>
      <c r="H28" s="19"/>
      <c r="J28" s="95" t="s">
        <v>118</v>
      </c>
      <c r="L28" s="132"/>
    </row>
    <row r="29" spans="2:16" x14ac:dyDescent="0.2">
      <c r="B29" s="175"/>
      <c r="C29" s="124"/>
      <c r="D29" s="108"/>
      <c r="E29" s="178"/>
      <c r="F29" s="108"/>
      <c r="G29" s="108"/>
      <c r="H29" s="19"/>
      <c r="J29" s="104"/>
      <c r="K29" s="105"/>
      <c r="L29" s="136"/>
      <c r="M29" s="105"/>
      <c r="N29" s="105"/>
      <c r="O29" s="105"/>
      <c r="P29" s="106"/>
    </row>
    <row r="30" spans="2:16" x14ac:dyDescent="0.2">
      <c r="B30" s="175"/>
      <c r="C30" s="124" t="s">
        <v>119</v>
      </c>
      <c r="D30" s="108"/>
      <c r="E30" s="180">
        <v>0.15</v>
      </c>
      <c r="F30" s="108"/>
      <c r="G30" s="108"/>
      <c r="H30" s="19"/>
      <c r="J30" s="112"/>
      <c r="K30" s="113" t="s">
        <v>58</v>
      </c>
      <c r="L30" s="174">
        <f>IF(E12=0,"",IF(L34=0,0,L34/E12))</f>
        <v>1.3295247698099748</v>
      </c>
      <c r="M30" s="115" t="s">
        <v>94</v>
      </c>
      <c r="N30" s="115"/>
      <c r="O30" s="115"/>
      <c r="P30" s="116"/>
    </row>
    <row r="31" spans="2:16" ht="13.5" thickBot="1" x14ac:dyDescent="0.25">
      <c r="B31" s="36"/>
      <c r="C31" s="37"/>
      <c r="D31" s="37"/>
      <c r="E31" s="37"/>
      <c r="F31" s="37"/>
      <c r="G31" s="37"/>
      <c r="H31" s="38"/>
      <c r="J31" s="112"/>
      <c r="K31" s="118"/>
      <c r="L31" s="119"/>
      <c r="M31" s="120"/>
      <c r="N31" s="120"/>
      <c r="O31" s="120"/>
      <c r="P31" s="116"/>
    </row>
    <row r="32" spans="2:16" ht="13.5" thickBot="1" x14ac:dyDescent="0.25">
      <c r="J32" s="121"/>
      <c r="K32" s="113" t="s">
        <v>58</v>
      </c>
      <c r="L32" s="174">
        <f>IF(E14=0,"",IF(L34=0,0,L34/E14))</f>
        <v>0.29249544935819444</v>
      </c>
      <c r="M32" s="115" t="s">
        <v>95</v>
      </c>
      <c r="N32" s="115"/>
      <c r="O32" s="115"/>
      <c r="P32" s="116"/>
    </row>
    <row r="33" spans="2:16" x14ac:dyDescent="0.2">
      <c r="B33" s="104"/>
      <c r="C33" s="105"/>
      <c r="D33" s="105"/>
      <c r="E33" s="105"/>
      <c r="F33" s="105"/>
      <c r="G33" s="105"/>
      <c r="H33" s="106"/>
      <c r="J33" s="121"/>
      <c r="K33" s="118"/>
      <c r="L33" s="119"/>
      <c r="M33" s="120"/>
      <c r="N33" s="120"/>
      <c r="O33" s="120"/>
      <c r="P33" s="116"/>
    </row>
    <row r="34" spans="2:16" ht="18" x14ac:dyDescent="0.25">
      <c r="B34" s="121"/>
      <c r="C34" s="236" t="s">
        <v>160</v>
      </c>
      <c r="D34" s="120"/>
      <c r="E34" s="249">
        <f>IF(L34=0,0,L34*E10)</f>
        <v>0.1316229522111875</v>
      </c>
      <c r="F34" s="249"/>
      <c r="G34" s="249"/>
      <c r="H34" s="250"/>
      <c r="J34" s="121"/>
      <c r="K34" s="113" t="s">
        <v>58</v>
      </c>
      <c r="L34" s="174">
        <f>IF(E8=0,0,IF(E10=0,0,IF(E20=0,0,(E6+E16*E18/E20+E24*(1-E22)+E28*(1-E22)*(1-E26))/E8/E10/(1-E22)/(1-E26)/(1-E30))))</f>
        <v>0.14624772467909722</v>
      </c>
      <c r="M34" s="115" t="s">
        <v>96</v>
      </c>
      <c r="N34" s="115"/>
      <c r="O34" s="115"/>
      <c r="P34" s="116"/>
    </row>
    <row r="35" spans="2:16" ht="13.5" thickBot="1" x14ac:dyDescent="0.25">
      <c r="B35" s="127"/>
      <c r="C35" s="128"/>
      <c r="D35" s="128"/>
      <c r="E35" s="128"/>
      <c r="F35" s="128"/>
      <c r="G35" s="128"/>
      <c r="H35" s="130"/>
      <c r="J35" s="127"/>
      <c r="K35" s="128"/>
      <c r="L35" s="128"/>
      <c r="M35" s="128"/>
      <c r="N35" s="128"/>
      <c r="O35" s="128"/>
      <c r="P35" s="130"/>
    </row>
    <row r="37" spans="2:16" x14ac:dyDescent="0.2">
      <c r="B37" s="244" t="s">
        <v>397</v>
      </c>
      <c r="C37" s="246" t="s">
        <v>398</v>
      </c>
      <c r="D37" s="246"/>
      <c r="E37" s="246"/>
    </row>
  </sheetData>
  <sheetProtection sheet="1" objects="1" scenarios="1"/>
  <mergeCells count="3">
    <mergeCell ref="E4:G4"/>
    <mergeCell ref="E34:F34"/>
    <mergeCell ref="G34:H34"/>
  </mergeCells>
  <phoneticPr fontId="2" type="noConversion"/>
  <dataValidations count="2">
    <dataValidation type="decimal" operator="greaterThan" allowBlank="1" showInputMessage="1" showErrorMessage="1" errorTitle="Restricted Data Entry" error="Only numbers greater than zero can be entered into this cell." sqref="E8 E10 E12 E14">
      <formula1>0</formula1>
    </dataValidation>
    <dataValidation type="decimal" operator="greaterThanOrEqual" allowBlank="1" showInputMessage="1" showErrorMessage="1" errorTitle="Restricted Data Entry" error="Only numbers greater than or equal to zero can be entered into this cell." sqref="E6 E16 E18 E20 E22 E24 E26 E28 E30">
      <formula1>0</formula1>
    </dataValidation>
  </dataValidations>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BB37"/>
  <sheetViews>
    <sheetView workbookViewId="0"/>
  </sheetViews>
  <sheetFormatPr defaultRowHeight="12.75" x14ac:dyDescent="0.2"/>
  <cols>
    <col min="1" max="1" width="4" style="6" customWidth="1"/>
    <col min="2" max="2" width="4.42578125" style="6" customWidth="1"/>
    <col min="3" max="3" width="36.85546875" style="6" customWidth="1"/>
    <col min="4" max="4" width="9.140625" style="6"/>
    <col min="5" max="5" width="10.7109375" style="6" customWidth="1"/>
    <col min="6" max="7" width="9.140625" style="6"/>
    <col min="8" max="9" width="4.85546875" style="6" customWidth="1"/>
    <col min="10" max="10" width="4.5703125" style="6" customWidth="1"/>
    <col min="11" max="11" width="3.7109375" style="6" customWidth="1"/>
    <col min="12" max="12" width="9.5703125" style="6" bestFit="1" customWidth="1"/>
    <col min="13" max="13" width="9.140625" style="6"/>
    <col min="14" max="14" width="13.7109375" style="6" bestFit="1" customWidth="1"/>
    <col min="15" max="15" width="13.7109375" style="6" customWidth="1"/>
    <col min="16" max="16" width="4.5703125" style="6" customWidth="1"/>
    <col min="17" max="17" width="19.28515625" style="6" bestFit="1" customWidth="1"/>
    <col min="18" max="16384" width="9.140625" style="6"/>
  </cols>
  <sheetData>
    <row r="1" spans="2:54" ht="18.75" thickBot="1" x14ac:dyDescent="0.3">
      <c r="B1" s="6">
        <v>3</v>
      </c>
      <c r="J1" s="95" t="s">
        <v>97</v>
      </c>
    </row>
    <row r="2" spans="2:54" ht="18.75" thickBot="1" x14ac:dyDescent="0.3">
      <c r="B2" s="95" t="s">
        <v>98</v>
      </c>
      <c r="J2" s="104"/>
      <c r="K2" s="105"/>
      <c r="L2" s="105"/>
      <c r="M2" s="105"/>
      <c r="N2" s="105"/>
      <c r="O2" s="105"/>
      <c r="P2" s="106"/>
    </row>
    <row r="3" spans="2:54" x14ac:dyDescent="0.2">
      <c r="B3" s="173"/>
      <c r="C3" s="97"/>
      <c r="D3" s="97"/>
      <c r="E3" s="97"/>
      <c r="F3" s="97"/>
      <c r="G3" s="97"/>
      <c r="H3" s="52"/>
      <c r="J3" s="112"/>
      <c r="K3" s="113" t="s">
        <v>58</v>
      </c>
      <c r="L3" s="174">
        <f>IF(E12=0,"",IF(L7="","",L7/E12))</f>
        <v>0.90579710144927528</v>
      </c>
      <c r="M3" s="115" t="s">
        <v>94</v>
      </c>
      <c r="N3" s="115"/>
      <c r="O3" s="115"/>
      <c r="P3" s="116"/>
    </row>
    <row r="4" spans="2:54" x14ac:dyDescent="0.2">
      <c r="B4" s="175"/>
      <c r="C4" s="124" t="s">
        <v>99</v>
      </c>
      <c r="D4" s="108"/>
      <c r="E4" s="248" t="s">
        <v>121</v>
      </c>
      <c r="F4" s="248"/>
      <c r="G4" s="248"/>
      <c r="H4" s="176"/>
      <c r="I4" s="123"/>
      <c r="J4" s="112"/>
      <c r="K4" s="118"/>
      <c r="L4" s="119"/>
      <c r="M4" s="120"/>
      <c r="N4" s="120"/>
      <c r="O4" s="120"/>
      <c r="P4" s="116"/>
      <c r="AH4" s="6" t="s">
        <v>6</v>
      </c>
      <c r="AI4" s="6" t="s">
        <v>30</v>
      </c>
      <c r="AJ4" s="6" t="s">
        <v>100</v>
      </c>
      <c r="AK4" s="6" t="s">
        <v>33</v>
      </c>
      <c r="AL4" s="6" t="s">
        <v>101</v>
      </c>
      <c r="AM4" s="6" t="s">
        <v>102</v>
      </c>
      <c r="AQ4" s="6" t="s">
        <v>41</v>
      </c>
      <c r="AR4" s="6" t="s">
        <v>80</v>
      </c>
      <c r="AS4" s="6" t="s">
        <v>42</v>
      </c>
      <c r="AU4" s="6" t="s">
        <v>44</v>
      </c>
      <c r="AW4" s="6" t="s">
        <v>30</v>
      </c>
      <c r="AX4" s="6" t="s">
        <v>44</v>
      </c>
      <c r="AZ4" s="6" t="s">
        <v>30</v>
      </c>
      <c r="BA4" s="6" t="s">
        <v>44</v>
      </c>
      <c r="BB4" s="6" t="s">
        <v>103</v>
      </c>
    </row>
    <row r="5" spans="2:54" x14ac:dyDescent="0.2">
      <c r="B5" s="175"/>
      <c r="C5" s="124"/>
      <c r="D5" s="108"/>
      <c r="E5" s="108"/>
      <c r="F5" s="108"/>
      <c r="G5" s="108"/>
      <c r="H5" s="19"/>
      <c r="I5" s="123"/>
      <c r="J5" s="121"/>
      <c r="K5" s="113" t="s">
        <v>58</v>
      </c>
      <c r="L5" s="174">
        <f>IF(E14=0,"",IF(L7="","",L7/E14))</f>
        <v>0.2824858757062147</v>
      </c>
      <c r="M5" s="115" t="s">
        <v>95</v>
      </c>
      <c r="N5" s="115"/>
      <c r="O5" s="115"/>
      <c r="P5" s="116"/>
    </row>
    <row r="6" spans="2:54" x14ac:dyDescent="0.2">
      <c r="B6" s="175"/>
      <c r="C6" s="124" t="s">
        <v>104</v>
      </c>
      <c r="D6" s="155" t="s">
        <v>58</v>
      </c>
      <c r="E6" s="177">
        <v>300</v>
      </c>
      <c r="F6" s="108"/>
      <c r="G6" s="108"/>
      <c r="H6" s="19"/>
      <c r="J6" s="121"/>
      <c r="K6" s="118"/>
      <c r="L6" s="119"/>
      <c r="M6" s="120"/>
      <c r="N6" s="120"/>
      <c r="O6" s="120"/>
      <c r="P6" s="116"/>
      <c r="AG6" s="6">
        <v>1</v>
      </c>
      <c r="AH6" s="6" t="str">
        <f>E4</f>
        <v>Alfalfa Hay (Good)</v>
      </c>
      <c r="AI6" s="131">
        <f>E6</f>
        <v>300</v>
      </c>
      <c r="AJ6" s="131">
        <f>E8</f>
        <v>2000</v>
      </c>
      <c r="AK6" s="131">
        <f>E10</f>
        <v>0.9</v>
      </c>
      <c r="AL6" s="131">
        <f>E12</f>
        <v>0.184</v>
      </c>
      <c r="AM6" s="131">
        <f>E14</f>
        <v>0.59</v>
      </c>
      <c r="AQ6" s="131">
        <f>E18</f>
        <v>4.5</v>
      </c>
      <c r="AR6" s="131">
        <f>E16</f>
        <v>80</v>
      </c>
      <c r="AS6" s="131">
        <f>E20</f>
        <v>20</v>
      </c>
      <c r="AU6" s="131">
        <f>E22</f>
        <v>5.0000000000000001E-3</v>
      </c>
      <c r="AW6" s="131">
        <f>E24</f>
        <v>1</v>
      </c>
      <c r="AX6" s="131">
        <f>E26</f>
        <v>0.01</v>
      </c>
      <c r="AZ6" s="131">
        <f>E28</f>
        <v>7</v>
      </c>
      <c r="BA6" s="131">
        <f>E30</f>
        <v>0.1</v>
      </c>
    </row>
    <row r="7" spans="2:54" x14ac:dyDescent="0.2">
      <c r="B7" s="175"/>
      <c r="C7" s="124"/>
      <c r="D7" s="108"/>
      <c r="E7" s="178"/>
      <c r="F7" s="108"/>
      <c r="G7" s="108"/>
      <c r="H7" s="19"/>
      <c r="J7" s="121"/>
      <c r="K7" s="113" t="s">
        <v>58</v>
      </c>
      <c r="L7" s="174">
        <f>IF(E8=0,"",IF(E10=0,"",$E$6/$E$8/$E$10))</f>
        <v>0.16666666666666666</v>
      </c>
      <c r="M7" s="115" t="s">
        <v>96</v>
      </c>
      <c r="N7" s="115"/>
      <c r="O7" s="115"/>
      <c r="P7" s="116"/>
      <c r="AI7" s="131"/>
      <c r="AJ7" s="131"/>
      <c r="AK7" s="131"/>
      <c r="AL7" s="131"/>
      <c r="AM7" s="131"/>
      <c r="AQ7" s="131"/>
      <c r="AR7" s="131"/>
      <c r="AS7" s="131"/>
      <c r="AU7" s="131"/>
      <c r="AW7" s="131"/>
      <c r="AX7" s="131"/>
      <c r="AZ7" s="131"/>
      <c r="BA7" s="131"/>
    </row>
    <row r="8" spans="2:54" ht="13.5" thickBot="1" x14ac:dyDescent="0.25">
      <c r="B8" s="175"/>
      <c r="C8" s="124" t="s">
        <v>105</v>
      </c>
      <c r="D8" s="108"/>
      <c r="E8" s="179">
        <v>2000</v>
      </c>
      <c r="F8" s="108" t="s">
        <v>106</v>
      </c>
      <c r="G8" s="108"/>
      <c r="H8" s="19"/>
      <c r="J8" s="127"/>
      <c r="K8" s="128"/>
      <c r="L8" s="129"/>
      <c r="M8" s="128"/>
      <c r="N8" s="128"/>
      <c r="O8" s="128"/>
      <c r="P8" s="130"/>
    </row>
    <row r="9" spans="2:54" x14ac:dyDescent="0.2">
      <c r="B9" s="175"/>
      <c r="C9" s="124"/>
      <c r="D9" s="108"/>
      <c r="E9" s="178"/>
      <c r="F9" s="108"/>
      <c r="G9" s="108"/>
      <c r="H9" s="19"/>
      <c r="L9" s="132"/>
    </row>
    <row r="10" spans="2:54" ht="18.75" thickBot="1" x14ac:dyDescent="0.3">
      <c r="B10" s="175"/>
      <c r="C10" s="124" t="s">
        <v>107</v>
      </c>
      <c r="D10" s="108"/>
      <c r="E10" s="180">
        <v>0.9</v>
      </c>
      <c r="F10" s="243" t="s">
        <v>397</v>
      </c>
      <c r="G10" s="108"/>
      <c r="H10" s="19"/>
      <c r="J10" s="95" t="s">
        <v>108</v>
      </c>
      <c r="L10" s="132"/>
    </row>
    <row r="11" spans="2:54" x14ac:dyDescent="0.2">
      <c r="B11" s="175"/>
      <c r="C11" s="124"/>
      <c r="D11" s="108"/>
      <c r="E11" s="178"/>
      <c r="F11" s="108"/>
      <c r="G11" s="108"/>
      <c r="H11" s="19"/>
      <c r="J11" s="104"/>
      <c r="K11" s="105"/>
      <c r="L11" s="136"/>
      <c r="M11" s="105"/>
      <c r="N11" s="105"/>
      <c r="O11" s="105"/>
      <c r="P11" s="106"/>
    </row>
    <row r="12" spans="2:54" x14ac:dyDescent="0.2">
      <c r="B12" s="175"/>
      <c r="C12" s="124" t="s">
        <v>109</v>
      </c>
      <c r="D12" s="108"/>
      <c r="E12" s="180">
        <v>0.184</v>
      </c>
      <c r="F12" s="243" t="s">
        <v>397</v>
      </c>
      <c r="G12" s="108"/>
      <c r="H12" s="19"/>
      <c r="J12" s="112"/>
      <c r="K12" s="113" t="s">
        <v>58</v>
      </c>
      <c r="L12" s="174">
        <f>IF(E12=0,"",IF(L16="","",L16/E12))</f>
        <v>0.96496977641832349</v>
      </c>
      <c r="M12" s="115" t="s">
        <v>94</v>
      </c>
      <c r="N12" s="115"/>
      <c r="O12" s="115"/>
      <c r="P12" s="116"/>
    </row>
    <row r="13" spans="2:54" x14ac:dyDescent="0.2">
      <c r="B13" s="175"/>
      <c r="C13" s="124"/>
      <c r="D13" s="108"/>
      <c r="E13" s="178"/>
      <c r="F13" s="108"/>
      <c r="G13" s="108"/>
      <c r="H13" s="19"/>
      <c r="J13" s="112"/>
      <c r="K13" s="118"/>
      <c r="L13" s="119"/>
      <c r="M13" s="120"/>
      <c r="N13" s="120"/>
      <c r="O13" s="120"/>
      <c r="P13" s="116"/>
    </row>
    <row r="14" spans="2:54" x14ac:dyDescent="0.2">
      <c r="B14" s="175"/>
      <c r="C14" s="124" t="s">
        <v>110</v>
      </c>
      <c r="D14" s="108"/>
      <c r="E14" s="180">
        <v>0.59</v>
      </c>
      <c r="F14" s="243" t="s">
        <v>397</v>
      </c>
      <c r="G14" s="108"/>
      <c r="H14" s="19"/>
      <c r="J14" s="121"/>
      <c r="K14" s="113" t="s">
        <v>58</v>
      </c>
      <c r="L14" s="174">
        <f>IF(E14=0,"",IF(L16="","",L16/E14))</f>
        <v>0.30093972688300258</v>
      </c>
      <c r="M14" s="115" t="s">
        <v>95</v>
      </c>
      <c r="N14" s="115"/>
      <c r="O14" s="115"/>
      <c r="P14" s="116"/>
    </row>
    <row r="15" spans="2:54" x14ac:dyDescent="0.2">
      <c r="B15" s="175"/>
      <c r="C15" s="124"/>
      <c r="D15" s="108"/>
      <c r="E15" s="178"/>
      <c r="F15" s="108"/>
      <c r="G15" s="108"/>
      <c r="H15" s="19"/>
      <c r="J15" s="121"/>
      <c r="K15" s="118"/>
      <c r="L15" s="119"/>
      <c r="M15" s="120"/>
      <c r="N15" s="120"/>
      <c r="O15" s="120"/>
      <c r="P15" s="116"/>
    </row>
    <row r="16" spans="2:54" x14ac:dyDescent="0.2">
      <c r="B16" s="175"/>
      <c r="C16" s="124" t="s">
        <v>111</v>
      </c>
      <c r="D16" s="108"/>
      <c r="E16" s="179">
        <v>80</v>
      </c>
      <c r="F16" s="108" t="s">
        <v>80</v>
      </c>
      <c r="G16" s="108"/>
      <c r="H16" s="19"/>
      <c r="J16" s="121"/>
      <c r="K16" s="113" t="s">
        <v>58</v>
      </c>
      <c r="L16" s="174">
        <f>IF(E8=0,"",IF(E10=0,"",($E$6+$E$16*IF($E$20="",0,IF(E20=0,0,$E$18/E20)))/$E$8/$E$10/(1-$E$22)))</f>
        <v>0.17755443886097153</v>
      </c>
      <c r="M16" s="115" t="s">
        <v>96</v>
      </c>
      <c r="N16" s="115"/>
      <c r="O16" s="115"/>
      <c r="P16" s="116"/>
    </row>
    <row r="17" spans="2:16" ht="13.5" thickBot="1" x14ac:dyDescent="0.25">
      <c r="B17" s="175"/>
      <c r="C17" s="124"/>
      <c r="D17" s="108"/>
      <c r="E17" s="178"/>
      <c r="F17" s="108"/>
      <c r="G17" s="108"/>
      <c r="H17" s="19"/>
      <c r="J17" s="127"/>
      <c r="K17" s="128"/>
      <c r="L17" s="129"/>
      <c r="M17" s="128"/>
      <c r="N17" s="128"/>
      <c r="O17" s="128"/>
      <c r="P17" s="130"/>
    </row>
    <row r="18" spans="2:16" x14ac:dyDescent="0.2">
      <c r="B18" s="175"/>
      <c r="C18" s="124" t="s">
        <v>112</v>
      </c>
      <c r="D18" s="155" t="s">
        <v>58</v>
      </c>
      <c r="E18" s="177">
        <v>4.5</v>
      </c>
      <c r="F18" s="108" t="s">
        <v>82</v>
      </c>
      <c r="G18" s="108"/>
      <c r="H18" s="19"/>
      <c r="L18" s="132"/>
    </row>
    <row r="19" spans="2:16" ht="18.75" thickBot="1" x14ac:dyDescent="0.3">
      <c r="B19" s="175"/>
      <c r="C19" s="124"/>
      <c r="D19" s="108"/>
      <c r="E19" s="178"/>
      <c r="F19" s="108"/>
      <c r="G19" s="108"/>
      <c r="H19" s="19"/>
      <c r="J19" s="95" t="s">
        <v>113</v>
      </c>
      <c r="L19" s="132"/>
    </row>
    <row r="20" spans="2:16" x14ac:dyDescent="0.2">
      <c r="B20" s="175"/>
      <c r="C20" s="124" t="str">
        <f>CONCATENATE("How many ",$F$20,"s are hauled per load?")</f>
        <v>How many tons are hauled per load?</v>
      </c>
      <c r="D20" s="108"/>
      <c r="E20" s="179">
        <v>20</v>
      </c>
      <c r="F20" s="108" t="str">
        <f>IF(E8=2000,"ton",IF(E8=100,"hundredweight",IF(E8&gt;31,IF(E8&lt;71,"bushel","unit"),"unit")))</f>
        <v>ton</v>
      </c>
      <c r="G20" s="108"/>
      <c r="H20" s="19"/>
      <c r="J20" s="104"/>
      <c r="K20" s="105"/>
      <c r="L20" s="136"/>
      <c r="M20" s="105"/>
      <c r="N20" s="105"/>
      <c r="O20" s="105"/>
      <c r="P20" s="106"/>
    </row>
    <row r="21" spans="2:16" x14ac:dyDescent="0.2">
      <c r="B21" s="175"/>
      <c r="C21" s="124"/>
      <c r="D21" s="108"/>
      <c r="E21" s="178"/>
      <c r="F21" s="108"/>
      <c r="G21" s="108"/>
      <c r="H21" s="19"/>
      <c r="J21" s="112"/>
      <c r="K21" s="113" t="s">
        <v>58</v>
      </c>
      <c r="L21" s="174">
        <f>IF(E12=0,"",IF(L25="","",L25/E12))</f>
        <v>0.97776676776749616</v>
      </c>
      <c r="M21" s="115" t="s">
        <v>94</v>
      </c>
      <c r="N21" s="115"/>
      <c r="O21" s="115"/>
      <c r="P21" s="116"/>
    </row>
    <row r="22" spans="2:16" x14ac:dyDescent="0.2">
      <c r="B22" s="175"/>
      <c r="C22" s="124" t="s">
        <v>114</v>
      </c>
      <c r="D22" s="108"/>
      <c r="E22" s="180">
        <v>5.0000000000000001E-3</v>
      </c>
      <c r="F22" s="108"/>
      <c r="G22" s="108"/>
      <c r="H22" s="19"/>
      <c r="J22" s="112"/>
      <c r="K22" s="118"/>
      <c r="L22" s="119"/>
      <c r="M22" s="120"/>
      <c r="N22" s="120"/>
      <c r="O22" s="120"/>
      <c r="P22" s="116"/>
    </row>
    <row r="23" spans="2:16" x14ac:dyDescent="0.2">
      <c r="B23" s="175"/>
      <c r="C23" s="124"/>
      <c r="D23" s="108"/>
      <c r="E23" s="178"/>
      <c r="F23" s="108"/>
      <c r="G23" s="108"/>
      <c r="H23" s="19"/>
      <c r="J23" s="121"/>
      <c r="K23" s="113" t="s">
        <v>58</v>
      </c>
      <c r="L23" s="174">
        <f>IF(E14=0,"",IF(L25="","",L25/E14))</f>
        <v>0.30493065299867678</v>
      </c>
      <c r="M23" s="115" t="s">
        <v>95</v>
      </c>
      <c r="N23" s="115"/>
      <c r="O23" s="115"/>
      <c r="P23" s="116"/>
    </row>
    <row r="24" spans="2:16" x14ac:dyDescent="0.2">
      <c r="B24" s="175"/>
      <c r="C24" s="124" t="s">
        <v>115</v>
      </c>
      <c r="D24" s="155" t="s">
        <v>58</v>
      </c>
      <c r="E24" s="177">
        <v>1</v>
      </c>
      <c r="F24" s="108" t="str">
        <f>CONCATENATE("per ",$F$20)</f>
        <v>per ton</v>
      </c>
      <c r="G24" s="108"/>
      <c r="H24" s="19"/>
      <c r="J24" s="121"/>
      <c r="K24" s="118"/>
      <c r="L24" s="119"/>
      <c r="M24" s="120"/>
      <c r="N24" s="120"/>
      <c r="O24" s="120"/>
      <c r="P24" s="116"/>
    </row>
    <row r="25" spans="2:16" x14ac:dyDescent="0.2">
      <c r="B25" s="175"/>
      <c r="C25" s="124"/>
      <c r="D25" s="108"/>
      <c r="E25" s="178"/>
      <c r="F25" s="108"/>
      <c r="G25" s="108"/>
      <c r="H25" s="19"/>
      <c r="J25" s="121"/>
      <c r="K25" s="113" t="s">
        <v>58</v>
      </c>
      <c r="L25" s="174">
        <f>IF(E8=0,"",IF(E10=0,"",IF(E20=0,"",(E6+E16*E18/E20+E24*(1-E22))/E8/E10/(1-E22)/(1-E26))))</f>
        <v>0.17990908526921928</v>
      </c>
      <c r="M25" s="115" t="s">
        <v>96</v>
      </c>
      <c r="N25" s="115"/>
      <c r="O25" s="115"/>
      <c r="P25" s="116"/>
    </row>
    <row r="26" spans="2:16" ht="13.5" thickBot="1" x14ac:dyDescent="0.25">
      <c r="B26" s="175"/>
      <c r="C26" s="124" t="s">
        <v>116</v>
      </c>
      <c r="D26" s="108"/>
      <c r="E26" s="180">
        <v>0.01</v>
      </c>
      <c r="F26" s="108"/>
      <c r="G26" s="108"/>
      <c r="H26" s="19"/>
      <c r="J26" s="127"/>
      <c r="K26" s="128"/>
      <c r="L26" s="129"/>
      <c r="M26" s="128"/>
      <c r="N26" s="128"/>
      <c r="O26" s="128"/>
      <c r="P26" s="130"/>
    </row>
    <row r="27" spans="2:16" x14ac:dyDescent="0.2">
      <c r="B27" s="175"/>
      <c r="C27" s="124"/>
      <c r="D27" s="108"/>
      <c r="E27" s="178"/>
      <c r="F27" s="108"/>
      <c r="G27" s="108"/>
      <c r="H27" s="19"/>
      <c r="L27" s="132"/>
    </row>
    <row r="28" spans="2:16" ht="18.75" thickBot="1" x14ac:dyDescent="0.3">
      <c r="B28" s="175"/>
      <c r="C28" s="124" t="s">
        <v>117</v>
      </c>
      <c r="D28" s="155" t="s">
        <v>58</v>
      </c>
      <c r="E28" s="177">
        <v>7</v>
      </c>
      <c r="F28" s="108" t="str">
        <f>CONCATENATE("per ",$F$20)</f>
        <v>per ton</v>
      </c>
      <c r="G28" s="108"/>
      <c r="H28" s="19"/>
      <c r="J28" s="95" t="s">
        <v>118</v>
      </c>
      <c r="L28" s="132"/>
    </row>
    <row r="29" spans="2:16" x14ac:dyDescent="0.2">
      <c r="B29" s="175"/>
      <c r="C29" s="124"/>
      <c r="D29" s="108"/>
      <c r="E29" s="178"/>
      <c r="F29" s="108"/>
      <c r="G29" s="108"/>
      <c r="H29" s="19"/>
      <c r="J29" s="104"/>
      <c r="K29" s="105"/>
      <c r="L29" s="136"/>
      <c r="M29" s="105"/>
      <c r="N29" s="105"/>
      <c r="O29" s="105"/>
      <c r="P29" s="106"/>
    </row>
    <row r="30" spans="2:16" x14ac:dyDescent="0.2">
      <c r="B30" s="175"/>
      <c r="C30" s="124" t="s">
        <v>119</v>
      </c>
      <c r="D30" s="108"/>
      <c r="E30" s="180">
        <v>0.1</v>
      </c>
      <c r="F30" s="108"/>
      <c r="G30" s="108"/>
      <c r="H30" s="19"/>
      <c r="J30" s="112"/>
      <c r="K30" s="113" t="s">
        <v>58</v>
      </c>
      <c r="L30" s="174">
        <f>IF(E12=0,"",IF(L34=0,0,L34/E12))</f>
        <v>1.1098911482977547</v>
      </c>
      <c r="M30" s="115" t="s">
        <v>94</v>
      </c>
      <c r="N30" s="115"/>
      <c r="O30" s="115"/>
      <c r="P30" s="116"/>
    </row>
    <row r="31" spans="2:16" ht="13.5" thickBot="1" x14ac:dyDescent="0.25">
      <c r="B31" s="36"/>
      <c r="C31" s="37"/>
      <c r="D31" s="37"/>
      <c r="E31" s="37"/>
      <c r="F31" s="37"/>
      <c r="G31" s="37"/>
      <c r="H31" s="38"/>
      <c r="J31" s="112"/>
      <c r="K31" s="118"/>
      <c r="L31" s="119"/>
      <c r="M31" s="120"/>
      <c r="N31" s="120"/>
      <c r="O31" s="120"/>
      <c r="P31" s="116"/>
    </row>
    <row r="32" spans="2:16" ht="13.5" thickBot="1" x14ac:dyDescent="0.25">
      <c r="J32" s="121"/>
      <c r="K32" s="113" t="s">
        <v>58</v>
      </c>
      <c r="L32" s="174">
        <f>IF(E14=0,"",IF(L34=0,0,L34/E14))</f>
        <v>0.34613554455387602</v>
      </c>
      <c r="M32" s="115" t="s">
        <v>95</v>
      </c>
      <c r="N32" s="115"/>
      <c r="O32" s="115"/>
      <c r="P32" s="116"/>
    </row>
    <row r="33" spans="2:16" x14ac:dyDescent="0.2">
      <c r="B33" s="104"/>
      <c r="C33" s="105"/>
      <c r="D33" s="105"/>
      <c r="E33" s="105"/>
      <c r="F33" s="105"/>
      <c r="G33" s="105"/>
      <c r="H33" s="106"/>
      <c r="J33" s="121"/>
      <c r="K33" s="118"/>
      <c r="L33" s="119"/>
      <c r="M33" s="120"/>
      <c r="N33" s="120"/>
      <c r="O33" s="120"/>
      <c r="P33" s="116"/>
    </row>
    <row r="34" spans="2:16" ht="18" x14ac:dyDescent="0.25">
      <c r="B34" s="121"/>
      <c r="C34" s="236" t="s">
        <v>160</v>
      </c>
      <c r="D34" s="120"/>
      <c r="E34" s="249">
        <f>IF(L34=0,0,L34*E10)</f>
        <v>0.18379797415810817</v>
      </c>
      <c r="F34" s="249"/>
      <c r="G34" s="249"/>
      <c r="H34" s="250"/>
      <c r="J34" s="121"/>
      <c r="K34" s="113" t="s">
        <v>58</v>
      </c>
      <c r="L34" s="174">
        <f>IF(E8=0,0,IF(E10=0,0,IF(E20=0,0,(E6+E16*E18/E20+E24*(1-E22)+E28*(1-E22)*(1-E26))/E8/E10/(1-E22)/(1-E26)/(1-E30))))</f>
        <v>0.20421997128678684</v>
      </c>
      <c r="M34" s="115" t="s">
        <v>96</v>
      </c>
      <c r="N34" s="115"/>
      <c r="O34" s="115"/>
      <c r="P34" s="116"/>
    </row>
    <row r="35" spans="2:16" ht="13.5" thickBot="1" x14ac:dyDescent="0.25">
      <c r="B35" s="127"/>
      <c r="C35" s="128"/>
      <c r="D35" s="128"/>
      <c r="E35" s="128"/>
      <c r="F35" s="128"/>
      <c r="G35" s="128"/>
      <c r="H35" s="130"/>
      <c r="J35" s="127"/>
      <c r="K35" s="128"/>
      <c r="L35" s="128"/>
      <c r="M35" s="128"/>
      <c r="N35" s="128"/>
      <c r="O35" s="128"/>
      <c r="P35" s="130"/>
    </row>
    <row r="37" spans="2:16" x14ac:dyDescent="0.2">
      <c r="B37" s="244" t="s">
        <v>397</v>
      </c>
      <c r="C37" s="246" t="s">
        <v>398</v>
      </c>
      <c r="D37" s="246"/>
      <c r="E37" s="246"/>
    </row>
  </sheetData>
  <sheetProtection sheet="1" objects="1" scenarios="1"/>
  <mergeCells count="3">
    <mergeCell ref="E4:G4"/>
    <mergeCell ref="E34:F34"/>
    <mergeCell ref="G34:H34"/>
  </mergeCells>
  <phoneticPr fontId="2" type="noConversion"/>
  <dataValidations count="2">
    <dataValidation type="decimal" operator="greaterThanOrEqual" allowBlank="1" showInputMessage="1" showErrorMessage="1" errorTitle="Restricted Data Entry" error="Only numbers greater than or equal to zero can be entered in this cell." sqref="E6 E16 E18 E20 E22 E24 E26 E28 E30">
      <formula1>0</formula1>
    </dataValidation>
    <dataValidation type="decimal" operator="greaterThan" allowBlank="1" showInputMessage="1" showErrorMessage="1" errorTitle="Restricted Data Entry" error="Only numbers greater than zero can be entered into this cell." sqref="E8 E10 E12 E14">
      <formula1>0</formula1>
    </dataValidation>
  </dataValidations>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BB37"/>
  <sheetViews>
    <sheetView workbookViewId="0"/>
  </sheetViews>
  <sheetFormatPr defaultRowHeight="12.75" x14ac:dyDescent="0.2"/>
  <cols>
    <col min="1" max="1" width="4" style="6" customWidth="1"/>
    <col min="2" max="2" width="4.42578125" style="6" customWidth="1"/>
    <col min="3" max="3" width="36.85546875" style="6" customWidth="1"/>
    <col min="4" max="4" width="9.140625" style="6"/>
    <col min="5" max="5" width="10.7109375" style="6" customWidth="1"/>
    <col min="6" max="7" width="9.140625" style="6"/>
    <col min="8" max="9" width="4.85546875" style="6" customWidth="1"/>
    <col min="10" max="10" width="4.5703125" style="6" customWidth="1"/>
    <col min="11" max="11" width="3.7109375" style="6" customWidth="1"/>
    <col min="12" max="12" width="9.5703125" style="6" bestFit="1" customWidth="1"/>
    <col min="13" max="13" width="9.140625" style="6"/>
    <col min="14" max="14" width="13.7109375" style="6" bestFit="1" customWidth="1"/>
    <col min="15" max="15" width="13.7109375" style="6" customWidth="1"/>
    <col min="16" max="16" width="4.5703125" style="6" customWidth="1"/>
    <col min="17" max="17" width="19.28515625" style="6" bestFit="1" customWidth="1"/>
    <col min="18" max="16384" width="9.140625" style="6"/>
  </cols>
  <sheetData>
    <row r="1" spans="2:54" ht="18.75" thickBot="1" x14ac:dyDescent="0.3">
      <c r="B1" s="6">
        <v>4</v>
      </c>
      <c r="J1" s="95" t="s">
        <v>97</v>
      </c>
    </row>
    <row r="2" spans="2:54" ht="18.75" thickBot="1" x14ac:dyDescent="0.3">
      <c r="B2" s="95" t="s">
        <v>98</v>
      </c>
      <c r="J2" s="104"/>
      <c r="K2" s="105"/>
      <c r="L2" s="105"/>
      <c r="M2" s="105"/>
      <c r="N2" s="105"/>
      <c r="O2" s="105"/>
      <c r="P2" s="106"/>
    </row>
    <row r="3" spans="2:54" x14ac:dyDescent="0.2">
      <c r="B3" s="173"/>
      <c r="C3" s="97"/>
      <c r="D3" s="97"/>
      <c r="E3" s="97"/>
      <c r="F3" s="97"/>
      <c r="G3" s="97"/>
      <c r="H3" s="52"/>
      <c r="J3" s="112"/>
      <c r="K3" s="113" t="s">
        <v>58</v>
      </c>
      <c r="L3" s="174">
        <f>IF(E12=0,"",IF(L7="","",L7/E12))</f>
        <v>1.4655483405483407</v>
      </c>
      <c r="M3" s="115" t="s">
        <v>94</v>
      </c>
      <c r="N3" s="115"/>
      <c r="O3" s="115"/>
      <c r="P3" s="116"/>
    </row>
    <row r="4" spans="2:54" x14ac:dyDescent="0.2">
      <c r="B4" s="175"/>
      <c r="C4" s="124" t="s">
        <v>99</v>
      </c>
      <c r="D4" s="108"/>
      <c r="E4" s="248" t="s">
        <v>120</v>
      </c>
      <c r="F4" s="248"/>
      <c r="G4" s="248"/>
      <c r="H4" s="176"/>
      <c r="I4" s="123"/>
      <c r="J4" s="112"/>
      <c r="K4" s="118"/>
      <c r="L4" s="119"/>
      <c r="M4" s="120"/>
      <c r="N4" s="120"/>
      <c r="O4" s="120"/>
      <c r="P4" s="116"/>
      <c r="AH4" s="6" t="s">
        <v>6</v>
      </c>
      <c r="AI4" s="6" t="s">
        <v>30</v>
      </c>
      <c r="AJ4" s="6" t="s">
        <v>100</v>
      </c>
      <c r="AK4" s="6" t="s">
        <v>33</v>
      </c>
      <c r="AL4" s="6" t="s">
        <v>101</v>
      </c>
      <c r="AM4" s="6" t="s">
        <v>102</v>
      </c>
      <c r="AQ4" s="6" t="s">
        <v>41</v>
      </c>
      <c r="AR4" s="6" t="s">
        <v>80</v>
      </c>
      <c r="AS4" s="6" t="s">
        <v>42</v>
      </c>
      <c r="AU4" s="6" t="s">
        <v>44</v>
      </c>
      <c r="AW4" s="6" t="s">
        <v>30</v>
      </c>
      <c r="AX4" s="6" t="s">
        <v>44</v>
      </c>
      <c r="AZ4" s="6" t="s">
        <v>30</v>
      </c>
      <c r="BA4" s="6" t="s">
        <v>44</v>
      </c>
      <c r="BB4" s="6" t="s">
        <v>103</v>
      </c>
    </row>
    <row r="5" spans="2:54" x14ac:dyDescent="0.2">
      <c r="B5" s="175"/>
      <c r="C5" s="124"/>
      <c r="D5" s="108"/>
      <c r="E5" s="108"/>
      <c r="F5" s="108"/>
      <c r="G5" s="108"/>
      <c r="H5" s="19"/>
      <c r="I5" s="123"/>
      <c r="J5" s="121"/>
      <c r="K5" s="113" t="s">
        <v>58</v>
      </c>
      <c r="L5" s="174">
        <f>IF(E14=0,"",IF(L7="","",L7/E14))</f>
        <v>0.17129785798616967</v>
      </c>
      <c r="M5" s="115" t="s">
        <v>95</v>
      </c>
      <c r="N5" s="115"/>
      <c r="O5" s="115"/>
      <c r="P5" s="116"/>
    </row>
    <row r="6" spans="2:54" x14ac:dyDescent="0.2">
      <c r="B6" s="175"/>
      <c r="C6" s="124" t="s">
        <v>104</v>
      </c>
      <c r="D6" s="155" t="s">
        <v>58</v>
      </c>
      <c r="E6" s="177">
        <v>6.5</v>
      </c>
      <c r="F6" s="108"/>
      <c r="G6" s="108"/>
      <c r="H6" s="19"/>
      <c r="J6" s="121"/>
      <c r="K6" s="118"/>
      <c r="L6" s="119"/>
      <c r="M6" s="120"/>
      <c r="N6" s="120"/>
      <c r="O6" s="120"/>
      <c r="P6" s="116"/>
      <c r="AG6" s="6">
        <v>1</v>
      </c>
      <c r="AH6" s="6" t="str">
        <f>E4</f>
        <v>Corn</v>
      </c>
      <c r="AI6" s="131">
        <f>E6</f>
        <v>6.5</v>
      </c>
      <c r="AJ6" s="131">
        <f>E8</f>
        <v>56</v>
      </c>
      <c r="AK6" s="131">
        <f>E10</f>
        <v>0.88</v>
      </c>
      <c r="AL6" s="131">
        <f>E12</f>
        <v>0.09</v>
      </c>
      <c r="AM6" s="131">
        <f>E14</f>
        <v>0.77</v>
      </c>
      <c r="AQ6" s="131">
        <f>E18</f>
        <v>5</v>
      </c>
      <c r="AR6" s="131">
        <f>E16</f>
        <v>60</v>
      </c>
      <c r="AS6" s="131">
        <f>E20</f>
        <v>900</v>
      </c>
      <c r="AU6" s="131">
        <f>E22</f>
        <v>5.0000000000000001E-3</v>
      </c>
      <c r="AW6" s="131">
        <f>E24</f>
        <v>0.25</v>
      </c>
      <c r="AX6" s="131">
        <f>E26</f>
        <v>0.02</v>
      </c>
      <c r="AZ6" s="131">
        <f>E28</f>
        <v>0.1</v>
      </c>
      <c r="BA6" s="131">
        <f>E30</f>
        <v>0.05</v>
      </c>
    </row>
    <row r="7" spans="2:54" x14ac:dyDescent="0.2">
      <c r="B7" s="175"/>
      <c r="C7" s="124"/>
      <c r="D7" s="108"/>
      <c r="E7" s="178"/>
      <c r="F7" s="108"/>
      <c r="G7" s="108"/>
      <c r="H7" s="19"/>
      <c r="J7" s="121"/>
      <c r="K7" s="113" t="s">
        <v>58</v>
      </c>
      <c r="L7" s="174">
        <f>IF(E8=0,"",IF(E10=0,"",$E$6/$E$8/$E$10))</f>
        <v>0.13189935064935066</v>
      </c>
      <c r="M7" s="115" t="s">
        <v>96</v>
      </c>
      <c r="N7" s="115"/>
      <c r="O7" s="115"/>
      <c r="P7" s="116"/>
      <c r="AI7" s="131"/>
      <c r="AJ7" s="131"/>
      <c r="AK7" s="131"/>
      <c r="AL7" s="131"/>
      <c r="AM7" s="131"/>
      <c r="AQ7" s="131"/>
      <c r="AR7" s="131"/>
      <c r="AS7" s="131"/>
      <c r="AU7" s="131"/>
      <c r="AW7" s="131"/>
      <c r="AX7" s="131"/>
      <c r="AZ7" s="131"/>
      <c r="BA7" s="131"/>
    </row>
    <row r="8" spans="2:54" ht="13.5" thickBot="1" x14ac:dyDescent="0.25">
      <c r="B8" s="175"/>
      <c r="C8" s="124" t="s">
        <v>105</v>
      </c>
      <c r="D8" s="108"/>
      <c r="E8" s="179">
        <v>56</v>
      </c>
      <c r="F8" s="108" t="s">
        <v>106</v>
      </c>
      <c r="G8" s="108"/>
      <c r="H8" s="19"/>
      <c r="J8" s="127"/>
      <c r="K8" s="128"/>
      <c r="L8" s="129"/>
      <c r="M8" s="128"/>
      <c r="N8" s="128"/>
      <c r="O8" s="128"/>
      <c r="P8" s="130"/>
    </row>
    <row r="9" spans="2:54" x14ac:dyDescent="0.2">
      <c r="B9" s="175"/>
      <c r="C9" s="124"/>
      <c r="D9" s="108"/>
      <c r="E9" s="178"/>
      <c r="F9" s="108"/>
      <c r="G9" s="108"/>
      <c r="H9" s="19"/>
      <c r="L9" s="132"/>
    </row>
    <row r="10" spans="2:54" ht="18.75" thickBot="1" x14ac:dyDescent="0.3">
      <c r="B10" s="175"/>
      <c r="C10" s="124" t="s">
        <v>107</v>
      </c>
      <c r="D10" s="108"/>
      <c r="E10" s="180">
        <v>0.88</v>
      </c>
      <c r="F10" s="243" t="s">
        <v>397</v>
      </c>
      <c r="G10" s="108"/>
      <c r="H10" s="19"/>
      <c r="J10" s="95" t="s">
        <v>108</v>
      </c>
      <c r="L10" s="132"/>
    </row>
    <row r="11" spans="2:54" x14ac:dyDescent="0.2">
      <c r="B11" s="175"/>
      <c r="C11" s="124"/>
      <c r="D11" s="108"/>
      <c r="E11" s="178"/>
      <c r="F11" s="108"/>
      <c r="G11" s="108"/>
      <c r="H11" s="19"/>
      <c r="J11" s="104"/>
      <c r="K11" s="105"/>
      <c r="L11" s="136"/>
      <c r="M11" s="105"/>
      <c r="N11" s="105"/>
      <c r="O11" s="105"/>
      <c r="P11" s="106"/>
    </row>
    <row r="12" spans="2:54" x14ac:dyDescent="0.2">
      <c r="B12" s="175"/>
      <c r="C12" s="124" t="s">
        <v>109</v>
      </c>
      <c r="D12" s="108"/>
      <c r="E12" s="180">
        <v>0.09</v>
      </c>
      <c r="F12" s="243" t="s">
        <v>397</v>
      </c>
      <c r="G12" s="108"/>
      <c r="H12" s="19"/>
      <c r="J12" s="112"/>
      <c r="K12" s="113" t="s">
        <v>58</v>
      </c>
      <c r="L12" s="174">
        <f>IF(E12=0,"",IF(L16="","",L16/E12))</f>
        <v>1.5484469002056942</v>
      </c>
      <c r="M12" s="115" t="s">
        <v>94</v>
      </c>
      <c r="N12" s="115"/>
      <c r="O12" s="115"/>
      <c r="P12" s="116"/>
    </row>
    <row r="13" spans="2:54" x14ac:dyDescent="0.2">
      <c r="B13" s="175"/>
      <c r="C13" s="124"/>
      <c r="D13" s="108"/>
      <c r="E13" s="178"/>
      <c r="F13" s="108"/>
      <c r="G13" s="108"/>
      <c r="H13" s="19"/>
      <c r="J13" s="112"/>
      <c r="K13" s="118"/>
      <c r="L13" s="119"/>
      <c r="M13" s="120"/>
      <c r="N13" s="120"/>
      <c r="O13" s="120"/>
      <c r="P13" s="116"/>
    </row>
    <row r="14" spans="2:54" x14ac:dyDescent="0.2">
      <c r="B14" s="175"/>
      <c r="C14" s="124" t="s">
        <v>110</v>
      </c>
      <c r="D14" s="108"/>
      <c r="E14" s="180">
        <v>0.77</v>
      </c>
      <c r="F14" s="243" t="s">
        <v>397</v>
      </c>
      <c r="G14" s="108"/>
      <c r="H14" s="19"/>
      <c r="J14" s="121"/>
      <c r="K14" s="113" t="s">
        <v>58</v>
      </c>
      <c r="L14" s="174">
        <f>IF(E14=0,"",IF(L16="","",L16/E14))</f>
        <v>0.18098730002404217</v>
      </c>
      <c r="M14" s="115" t="s">
        <v>95</v>
      </c>
      <c r="N14" s="115"/>
      <c r="O14" s="115"/>
      <c r="P14" s="116"/>
    </row>
    <row r="15" spans="2:54" x14ac:dyDescent="0.2">
      <c r="B15" s="175"/>
      <c r="C15" s="124"/>
      <c r="D15" s="108"/>
      <c r="E15" s="178"/>
      <c r="F15" s="108"/>
      <c r="G15" s="108"/>
      <c r="H15" s="19"/>
      <c r="J15" s="121"/>
      <c r="K15" s="118"/>
      <c r="L15" s="119"/>
      <c r="M15" s="120"/>
      <c r="N15" s="120"/>
      <c r="O15" s="120"/>
      <c r="P15" s="116"/>
    </row>
    <row r="16" spans="2:54" x14ac:dyDescent="0.2">
      <c r="B16" s="175"/>
      <c r="C16" s="124" t="s">
        <v>111</v>
      </c>
      <c r="D16" s="108"/>
      <c r="E16" s="179">
        <v>60</v>
      </c>
      <c r="F16" s="108" t="s">
        <v>80</v>
      </c>
      <c r="G16" s="108"/>
      <c r="H16" s="19"/>
      <c r="J16" s="121"/>
      <c r="K16" s="113" t="s">
        <v>58</v>
      </c>
      <c r="L16" s="174">
        <f>IF(E8=0,"",IF(E10=0,"",($E$6+$E$16*IF($E$20="",0,IF(E20=0,0,$E$18/E20)))/$E$8/$E$10/(1-$E$22)))</f>
        <v>0.13936022101851248</v>
      </c>
      <c r="M16" s="115" t="s">
        <v>96</v>
      </c>
      <c r="N16" s="115"/>
      <c r="O16" s="115"/>
      <c r="P16" s="116"/>
    </row>
    <row r="17" spans="2:16" ht="13.5" thickBot="1" x14ac:dyDescent="0.25">
      <c r="B17" s="175"/>
      <c r="C17" s="124"/>
      <c r="D17" s="108"/>
      <c r="E17" s="178"/>
      <c r="F17" s="108"/>
      <c r="G17" s="108"/>
      <c r="H17" s="19"/>
      <c r="J17" s="127"/>
      <c r="K17" s="128"/>
      <c r="L17" s="129"/>
      <c r="M17" s="128"/>
      <c r="N17" s="128"/>
      <c r="O17" s="128"/>
      <c r="P17" s="130"/>
    </row>
    <row r="18" spans="2:16" x14ac:dyDescent="0.2">
      <c r="B18" s="175"/>
      <c r="C18" s="124" t="s">
        <v>112</v>
      </c>
      <c r="D18" s="155" t="s">
        <v>58</v>
      </c>
      <c r="E18" s="177">
        <v>5</v>
      </c>
      <c r="F18" s="108" t="s">
        <v>82</v>
      </c>
      <c r="G18" s="108"/>
      <c r="H18" s="19"/>
      <c r="L18" s="132"/>
    </row>
    <row r="19" spans="2:16" ht="18.75" thickBot="1" x14ac:dyDescent="0.3">
      <c r="B19" s="175"/>
      <c r="C19" s="124"/>
      <c r="D19" s="108"/>
      <c r="E19" s="178"/>
      <c r="F19" s="108"/>
      <c r="G19" s="108"/>
      <c r="H19" s="19"/>
      <c r="J19" s="95" t="s">
        <v>113</v>
      </c>
      <c r="L19" s="132"/>
    </row>
    <row r="20" spans="2:16" x14ac:dyDescent="0.2">
      <c r="B20" s="175"/>
      <c r="C20" s="124" t="str">
        <f>CONCATENATE("How many ",$F$20,"s are hauled per load?")</f>
        <v>How many bushels are hauled per load?</v>
      </c>
      <c r="D20" s="108"/>
      <c r="E20" s="179">
        <v>900</v>
      </c>
      <c r="F20" s="108" t="str">
        <f>IF(E8=2000,"ton",IF(E8=100,"hundredweight",IF(E8&gt;31,IF(E8&lt;71,"bushel","unit"),"unit")))</f>
        <v>bushel</v>
      </c>
      <c r="G20" s="108"/>
      <c r="H20" s="19"/>
      <c r="J20" s="104"/>
      <c r="K20" s="105"/>
      <c r="L20" s="136"/>
      <c r="M20" s="105"/>
      <c r="N20" s="105"/>
      <c r="O20" s="105"/>
      <c r="P20" s="106"/>
    </row>
    <row r="21" spans="2:16" x14ac:dyDescent="0.2">
      <c r="B21" s="175"/>
      <c r="C21" s="124"/>
      <c r="D21" s="108"/>
      <c r="E21" s="178"/>
      <c r="F21" s="108"/>
      <c r="G21" s="108"/>
      <c r="H21" s="19"/>
      <c r="J21" s="112"/>
      <c r="K21" s="113" t="s">
        <v>58</v>
      </c>
      <c r="L21" s="174">
        <f>IF(E12=0,"",IF(L25="","",L25/E12))</f>
        <v>1.6375654531356514</v>
      </c>
      <c r="M21" s="115" t="s">
        <v>94</v>
      </c>
      <c r="N21" s="115"/>
      <c r="O21" s="115"/>
      <c r="P21" s="116"/>
    </row>
    <row r="22" spans="2:16" x14ac:dyDescent="0.2">
      <c r="B22" s="175"/>
      <c r="C22" s="124" t="s">
        <v>114</v>
      </c>
      <c r="D22" s="108"/>
      <c r="E22" s="180">
        <v>5.0000000000000001E-3</v>
      </c>
      <c r="F22" s="108"/>
      <c r="G22" s="108"/>
      <c r="H22" s="19"/>
      <c r="J22" s="112"/>
      <c r="K22" s="118"/>
      <c r="L22" s="119"/>
      <c r="M22" s="120"/>
      <c r="N22" s="120"/>
      <c r="O22" s="120"/>
      <c r="P22" s="116"/>
    </row>
    <row r="23" spans="2:16" x14ac:dyDescent="0.2">
      <c r="B23" s="175"/>
      <c r="C23" s="124"/>
      <c r="D23" s="108"/>
      <c r="E23" s="178"/>
      <c r="F23" s="108"/>
      <c r="G23" s="108"/>
      <c r="H23" s="19"/>
      <c r="J23" s="121"/>
      <c r="K23" s="113" t="s">
        <v>58</v>
      </c>
      <c r="L23" s="174">
        <f>IF(E14=0,"",IF(L25="","",L25/E14))</f>
        <v>0.19140375426260858</v>
      </c>
      <c r="M23" s="115" t="s">
        <v>95</v>
      </c>
      <c r="N23" s="115"/>
      <c r="O23" s="115"/>
      <c r="P23" s="116"/>
    </row>
    <row r="24" spans="2:16" x14ac:dyDescent="0.2">
      <c r="B24" s="175"/>
      <c r="C24" s="124" t="s">
        <v>115</v>
      </c>
      <c r="D24" s="155" t="s">
        <v>58</v>
      </c>
      <c r="E24" s="177">
        <v>0.25</v>
      </c>
      <c r="F24" s="108" t="str">
        <f>CONCATENATE("per ",$F$20)</f>
        <v>per bushel</v>
      </c>
      <c r="G24" s="108"/>
      <c r="H24" s="19"/>
      <c r="J24" s="121"/>
      <c r="K24" s="118"/>
      <c r="L24" s="119"/>
      <c r="M24" s="120"/>
      <c r="N24" s="120"/>
      <c r="O24" s="120"/>
      <c r="P24" s="116"/>
    </row>
    <row r="25" spans="2:16" x14ac:dyDescent="0.2">
      <c r="B25" s="175"/>
      <c r="C25" s="124"/>
      <c r="D25" s="108"/>
      <c r="E25" s="178"/>
      <c r="F25" s="108"/>
      <c r="G25" s="108"/>
      <c r="H25" s="19"/>
      <c r="J25" s="121"/>
      <c r="K25" s="113" t="s">
        <v>58</v>
      </c>
      <c r="L25" s="174">
        <f>IF(E8=0,"",IF(E10=0,"",IF(E20=0,"",(E6+E16*E18/E20+E24*(1-E22))/E8/E10/(1-E22)/(1-E26))))</f>
        <v>0.14738089078220862</v>
      </c>
      <c r="M25" s="115" t="s">
        <v>96</v>
      </c>
      <c r="N25" s="115"/>
      <c r="O25" s="115"/>
      <c r="P25" s="116"/>
    </row>
    <row r="26" spans="2:16" ht="13.5" thickBot="1" x14ac:dyDescent="0.25">
      <c r="B26" s="175"/>
      <c r="C26" s="124" t="s">
        <v>116</v>
      </c>
      <c r="D26" s="108"/>
      <c r="E26" s="180">
        <v>0.02</v>
      </c>
      <c r="F26" s="108"/>
      <c r="G26" s="108"/>
      <c r="H26" s="19"/>
      <c r="J26" s="127"/>
      <c r="K26" s="128"/>
      <c r="L26" s="129"/>
      <c r="M26" s="128"/>
      <c r="N26" s="128"/>
      <c r="O26" s="128"/>
      <c r="P26" s="130"/>
    </row>
    <row r="27" spans="2:16" x14ac:dyDescent="0.2">
      <c r="B27" s="175"/>
      <c r="C27" s="124"/>
      <c r="D27" s="108"/>
      <c r="E27" s="178"/>
      <c r="F27" s="108"/>
      <c r="G27" s="108"/>
      <c r="H27" s="19"/>
      <c r="L27" s="132"/>
    </row>
    <row r="28" spans="2:16" ht="18.75" thickBot="1" x14ac:dyDescent="0.3">
      <c r="B28" s="175"/>
      <c r="C28" s="124" t="s">
        <v>117</v>
      </c>
      <c r="D28" s="155" t="s">
        <v>58</v>
      </c>
      <c r="E28" s="177">
        <v>0.1</v>
      </c>
      <c r="F28" s="108" t="str">
        <f>CONCATENATE("per ",$F$20)</f>
        <v>per bushel</v>
      </c>
      <c r="G28" s="108"/>
      <c r="H28" s="19"/>
      <c r="J28" s="95" t="s">
        <v>118</v>
      </c>
      <c r="L28" s="132"/>
    </row>
    <row r="29" spans="2:16" x14ac:dyDescent="0.2">
      <c r="B29" s="175"/>
      <c r="C29" s="124"/>
      <c r="D29" s="108"/>
      <c r="E29" s="178"/>
      <c r="F29" s="108"/>
      <c r="G29" s="108"/>
      <c r="H29" s="19"/>
      <c r="J29" s="104"/>
      <c r="K29" s="105"/>
      <c r="L29" s="136"/>
      <c r="M29" s="105"/>
      <c r="N29" s="105"/>
      <c r="O29" s="105"/>
      <c r="P29" s="106"/>
    </row>
    <row r="30" spans="2:16" x14ac:dyDescent="0.2">
      <c r="B30" s="175"/>
      <c r="C30" s="124" t="s">
        <v>119</v>
      </c>
      <c r="D30" s="108"/>
      <c r="E30" s="180">
        <v>0.05</v>
      </c>
      <c r="F30" s="108"/>
      <c r="G30" s="108"/>
      <c r="H30" s="19"/>
      <c r="J30" s="112"/>
      <c r="K30" s="113" t="s">
        <v>58</v>
      </c>
      <c r="L30" s="174">
        <f>IF(E12=0,"",IF(L34=0,0,L34/E12))</f>
        <v>1.7474866849289987</v>
      </c>
      <c r="M30" s="115" t="s">
        <v>94</v>
      </c>
      <c r="N30" s="115"/>
      <c r="O30" s="115"/>
      <c r="P30" s="116"/>
    </row>
    <row r="31" spans="2:16" ht="13.5" thickBot="1" x14ac:dyDescent="0.25">
      <c r="B31" s="36"/>
      <c r="C31" s="37"/>
      <c r="D31" s="37"/>
      <c r="E31" s="37"/>
      <c r="F31" s="37"/>
      <c r="G31" s="37"/>
      <c r="H31" s="38"/>
      <c r="J31" s="112"/>
      <c r="K31" s="118"/>
      <c r="L31" s="119"/>
      <c r="M31" s="120"/>
      <c r="N31" s="120"/>
      <c r="O31" s="120"/>
      <c r="P31" s="116"/>
    </row>
    <row r="32" spans="2:16" ht="13.5" thickBot="1" x14ac:dyDescent="0.25">
      <c r="J32" s="121"/>
      <c r="K32" s="113" t="s">
        <v>58</v>
      </c>
      <c r="L32" s="174">
        <f>IF(E14=0,"",IF(L34=0,0,L34/E14))</f>
        <v>0.20425169044624658</v>
      </c>
      <c r="M32" s="115" t="s">
        <v>95</v>
      </c>
      <c r="N32" s="115"/>
      <c r="O32" s="115"/>
      <c r="P32" s="116"/>
    </row>
    <row r="33" spans="2:16" x14ac:dyDescent="0.2">
      <c r="B33" s="104"/>
      <c r="C33" s="105"/>
      <c r="D33" s="105"/>
      <c r="E33" s="105"/>
      <c r="F33" s="105"/>
      <c r="G33" s="105"/>
      <c r="H33" s="106"/>
      <c r="J33" s="121"/>
      <c r="K33" s="118"/>
      <c r="L33" s="119"/>
      <c r="M33" s="120"/>
      <c r="N33" s="120"/>
      <c r="O33" s="120"/>
      <c r="P33" s="116"/>
    </row>
    <row r="34" spans="2:16" ht="18" x14ac:dyDescent="0.25">
      <c r="B34" s="121"/>
      <c r="C34" s="236" t="s">
        <v>160</v>
      </c>
      <c r="D34" s="120"/>
      <c r="E34" s="249">
        <f>IF(L34=0,0,L34*E10)</f>
        <v>0.13840094544637668</v>
      </c>
      <c r="F34" s="249"/>
      <c r="G34" s="249"/>
      <c r="H34" s="250"/>
      <c r="J34" s="121"/>
      <c r="K34" s="113" t="s">
        <v>58</v>
      </c>
      <c r="L34" s="174">
        <f>IF(E8=0,0,IF(E10=0,0,IF(E20=0,0,(E6+E16*E18/E20+E24*(1-E22)+E28*(1-E22)*(1-E26))/E8/E10/(1-E22)/(1-E26)/(1-E30))))</f>
        <v>0.15727380164360988</v>
      </c>
      <c r="M34" s="115" t="s">
        <v>96</v>
      </c>
      <c r="N34" s="115"/>
      <c r="O34" s="115"/>
      <c r="P34" s="116"/>
    </row>
    <row r="35" spans="2:16" ht="13.5" thickBot="1" x14ac:dyDescent="0.25">
      <c r="B35" s="127"/>
      <c r="C35" s="128"/>
      <c r="D35" s="128"/>
      <c r="E35" s="128"/>
      <c r="F35" s="128"/>
      <c r="G35" s="128"/>
      <c r="H35" s="130"/>
      <c r="J35" s="127"/>
      <c r="K35" s="128"/>
      <c r="L35" s="128"/>
      <c r="M35" s="128"/>
      <c r="N35" s="128"/>
      <c r="O35" s="128"/>
      <c r="P35" s="130"/>
    </row>
    <row r="37" spans="2:16" x14ac:dyDescent="0.2">
      <c r="B37" s="244" t="s">
        <v>397</v>
      </c>
      <c r="C37" s="246" t="s">
        <v>398</v>
      </c>
      <c r="D37" s="246"/>
      <c r="E37" s="246"/>
    </row>
  </sheetData>
  <sheetProtection sheet="1" objects="1" scenarios="1"/>
  <mergeCells count="3">
    <mergeCell ref="E4:G4"/>
    <mergeCell ref="E34:F34"/>
    <mergeCell ref="G34:H34"/>
  </mergeCells>
  <phoneticPr fontId="2" type="noConversion"/>
  <dataValidations count="2">
    <dataValidation type="decimal" operator="greaterThanOrEqual" allowBlank="1" showInputMessage="1" showErrorMessage="1" errorTitle="Restricted Data Entry" error="Only numbers greater to or equal to zero can be entered into this cell." sqref="E6 E16 E18 E20 E22 E24 E26 E28 E30">
      <formula1>0</formula1>
    </dataValidation>
    <dataValidation type="decimal" operator="greaterThan" allowBlank="1" showInputMessage="1" showErrorMessage="1" errorTitle="Restricted Data Entry" error="Only numbers greater than zero can be entered into this cell." sqref="E8 E10 E12 E14">
      <formula1>0</formula1>
    </dataValidation>
  </dataValidations>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BB37"/>
  <sheetViews>
    <sheetView workbookViewId="0"/>
  </sheetViews>
  <sheetFormatPr defaultRowHeight="12.75" x14ac:dyDescent="0.2"/>
  <cols>
    <col min="1" max="1" width="4" style="6" customWidth="1"/>
    <col min="2" max="2" width="4.42578125" style="6" customWidth="1"/>
    <col min="3" max="3" width="36.85546875" style="6" customWidth="1"/>
    <col min="4" max="4" width="9.140625" style="6"/>
    <col min="5" max="5" width="10.7109375" style="6" customWidth="1"/>
    <col min="6" max="7" width="9.140625" style="6"/>
    <col min="8" max="9" width="4.85546875" style="6" customWidth="1"/>
    <col min="10" max="10" width="4.5703125" style="6" customWidth="1"/>
    <col min="11" max="11" width="3.7109375" style="6" customWidth="1"/>
    <col min="12" max="13" width="9.140625" style="6"/>
    <col min="14" max="14" width="13.7109375" style="6" bestFit="1" customWidth="1"/>
    <col min="15" max="15" width="13.7109375" style="6" customWidth="1"/>
    <col min="16" max="16" width="4.5703125" style="6" customWidth="1"/>
    <col min="17" max="17" width="19.28515625" style="6" bestFit="1" customWidth="1"/>
    <col min="18" max="16384" width="9.140625" style="6"/>
  </cols>
  <sheetData>
    <row r="1" spans="2:54" ht="18.75" thickBot="1" x14ac:dyDescent="0.3">
      <c r="B1" s="6">
        <v>5</v>
      </c>
      <c r="J1" s="95" t="s">
        <v>97</v>
      </c>
    </row>
    <row r="2" spans="2:54" ht="18.75" thickBot="1" x14ac:dyDescent="0.3">
      <c r="B2" s="95" t="s">
        <v>98</v>
      </c>
      <c r="J2" s="104"/>
      <c r="K2" s="105"/>
      <c r="L2" s="105"/>
      <c r="M2" s="105"/>
      <c r="N2" s="105"/>
      <c r="O2" s="105"/>
      <c r="P2" s="106"/>
    </row>
    <row r="3" spans="2:54" x14ac:dyDescent="0.2">
      <c r="B3" s="173"/>
      <c r="C3" s="97"/>
      <c r="D3" s="97"/>
      <c r="E3" s="97"/>
      <c r="F3" s="97"/>
      <c r="G3" s="97"/>
      <c r="H3" s="52"/>
      <c r="J3" s="112"/>
      <c r="K3" s="113" t="s">
        <v>58</v>
      </c>
      <c r="L3" s="174">
        <f>IF(E12=0,"",IF(L7="","",L7/E12))</f>
        <v>1.5490746860541968</v>
      </c>
      <c r="M3" s="115" t="s">
        <v>94</v>
      </c>
      <c r="N3" s="115"/>
      <c r="O3" s="115"/>
      <c r="P3" s="116"/>
    </row>
    <row r="4" spans="2:54" x14ac:dyDescent="0.2">
      <c r="B4" s="175"/>
      <c r="C4" s="124" t="s">
        <v>99</v>
      </c>
      <c r="D4" s="108"/>
      <c r="E4" s="248" t="s">
        <v>161</v>
      </c>
      <c r="F4" s="248"/>
      <c r="G4" s="248"/>
      <c r="H4" s="176"/>
      <c r="I4" s="123"/>
      <c r="J4" s="112"/>
      <c r="K4" s="118"/>
      <c r="L4" s="119"/>
      <c r="M4" s="120"/>
      <c r="N4" s="120"/>
      <c r="O4" s="120"/>
      <c r="P4" s="116"/>
      <c r="AH4" s="6" t="s">
        <v>6</v>
      </c>
      <c r="AI4" s="6" t="s">
        <v>30</v>
      </c>
      <c r="AJ4" s="6" t="s">
        <v>100</v>
      </c>
      <c r="AK4" s="6" t="s">
        <v>33</v>
      </c>
      <c r="AL4" s="6" t="s">
        <v>101</v>
      </c>
      <c r="AM4" s="6" t="s">
        <v>102</v>
      </c>
      <c r="AQ4" s="6" t="s">
        <v>41</v>
      </c>
      <c r="AR4" s="6" t="s">
        <v>80</v>
      </c>
      <c r="AS4" s="6" t="s">
        <v>42</v>
      </c>
      <c r="AU4" s="6" t="s">
        <v>44</v>
      </c>
      <c r="AW4" s="6" t="s">
        <v>30</v>
      </c>
      <c r="AX4" s="6" t="s">
        <v>44</v>
      </c>
      <c r="AZ4" s="6" t="s">
        <v>30</v>
      </c>
      <c r="BA4" s="6" t="s">
        <v>44</v>
      </c>
      <c r="BB4" s="6" t="s">
        <v>103</v>
      </c>
    </row>
    <row r="5" spans="2:54" x14ac:dyDescent="0.2">
      <c r="B5" s="175"/>
      <c r="C5" s="124"/>
      <c r="D5" s="108"/>
      <c r="E5" s="108"/>
      <c r="F5" s="108"/>
      <c r="G5" s="108"/>
      <c r="H5" s="19"/>
      <c r="I5" s="123"/>
      <c r="J5" s="121"/>
      <c r="K5" s="113" t="s">
        <v>58</v>
      </c>
      <c r="L5" s="174">
        <f>IF(E14=0,"",IF(L7="","",L7/E14))</f>
        <v>0.2736028016926893</v>
      </c>
      <c r="M5" s="115" t="s">
        <v>95</v>
      </c>
      <c r="N5" s="115"/>
      <c r="O5" s="115"/>
      <c r="P5" s="116"/>
    </row>
    <row r="6" spans="2:54" x14ac:dyDescent="0.2">
      <c r="B6" s="175"/>
      <c r="C6" s="124" t="s">
        <v>104</v>
      </c>
      <c r="D6" s="155" t="s">
        <v>58</v>
      </c>
      <c r="E6" s="177">
        <v>6</v>
      </c>
      <c r="F6" s="108"/>
      <c r="G6" s="108"/>
      <c r="H6" s="19"/>
      <c r="J6" s="121"/>
      <c r="K6" s="118"/>
      <c r="L6" s="119"/>
      <c r="M6" s="120"/>
      <c r="N6" s="120"/>
      <c r="O6" s="120"/>
      <c r="P6" s="116"/>
      <c r="AG6" s="6">
        <v>1</v>
      </c>
      <c r="AH6" s="6" t="str">
        <f>E4</f>
        <v>Oats</v>
      </c>
      <c r="AI6" s="131">
        <f>E6</f>
        <v>6</v>
      </c>
      <c r="AJ6" s="131">
        <f>E8</f>
        <v>32</v>
      </c>
      <c r="AK6" s="131">
        <f>E10</f>
        <v>0.89</v>
      </c>
      <c r="AL6" s="131">
        <f>E12</f>
        <v>0.13600000000000001</v>
      </c>
      <c r="AM6" s="131">
        <f>E14</f>
        <v>0.77</v>
      </c>
      <c r="AQ6" s="131">
        <f>E18</f>
        <v>5</v>
      </c>
      <c r="AR6" s="131">
        <f>E16</f>
        <v>75</v>
      </c>
      <c r="AS6" s="131">
        <f>E20</f>
        <v>1500</v>
      </c>
      <c r="AU6" s="131">
        <f>E22</f>
        <v>0.02</v>
      </c>
      <c r="AW6" s="131">
        <f>E24</f>
        <v>0.01</v>
      </c>
      <c r="AX6" s="131">
        <f>E26</f>
        <v>0.01</v>
      </c>
      <c r="AZ6" s="131">
        <f>E28</f>
        <v>0.05</v>
      </c>
      <c r="BA6" s="131">
        <f>E30</f>
        <v>7.0000000000000007E-2</v>
      </c>
    </row>
    <row r="7" spans="2:54" x14ac:dyDescent="0.2">
      <c r="B7" s="175"/>
      <c r="C7" s="124"/>
      <c r="D7" s="108"/>
      <c r="E7" s="178"/>
      <c r="F7" s="108"/>
      <c r="G7" s="108"/>
      <c r="H7" s="19"/>
      <c r="J7" s="121"/>
      <c r="K7" s="113" t="s">
        <v>58</v>
      </c>
      <c r="L7" s="174">
        <f>IF(E8=0,"",IF(E10=0,"",$E$6/$E$8/$E$10))</f>
        <v>0.21067415730337077</v>
      </c>
      <c r="M7" s="115" t="s">
        <v>96</v>
      </c>
      <c r="N7" s="115"/>
      <c r="O7" s="115"/>
      <c r="P7" s="116"/>
      <c r="AI7" s="131"/>
      <c r="AJ7" s="131"/>
      <c r="AK7" s="131"/>
      <c r="AL7" s="131"/>
      <c r="AM7" s="131"/>
      <c r="AQ7" s="131"/>
      <c r="AR7" s="131"/>
      <c r="AS7" s="131"/>
      <c r="AU7" s="131"/>
      <c r="AW7" s="131"/>
      <c r="AX7" s="131"/>
      <c r="AZ7" s="131"/>
      <c r="BA7" s="131"/>
    </row>
    <row r="8" spans="2:54" ht="13.5" thickBot="1" x14ac:dyDescent="0.25">
      <c r="B8" s="175"/>
      <c r="C8" s="124" t="s">
        <v>105</v>
      </c>
      <c r="D8" s="108"/>
      <c r="E8" s="179">
        <v>32</v>
      </c>
      <c r="F8" s="108" t="s">
        <v>106</v>
      </c>
      <c r="G8" s="108"/>
      <c r="H8" s="19"/>
      <c r="J8" s="127"/>
      <c r="K8" s="128"/>
      <c r="L8" s="129"/>
      <c r="M8" s="128"/>
      <c r="N8" s="128"/>
      <c r="O8" s="128"/>
      <c r="P8" s="130"/>
    </row>
    <row r="9" spans="2:54" x14ac:dyDescent="0.2">
      <c r="B9" s="175"/>
      <c r="C9" s="124"/>
      <c r="D9" s="108"/>
      <c r="E9" s="178"/>
      <c r="F9" s="108"/>
      <c r="G9" s="108"/>
      <c r="H9" s="19"/>
      <c r="L9" s="132"/>
    </row>
    <row r="10" spans="2:54" ht="18.75" thickBot="1" x14ac:dyDescent="0.3">
      <c r="B10" s="175"/>
      <c r="C10" s="124" t="s">
        <v>107</v>
      </c>
      <c r="D10" s="108"/>
      <c r="E10" s="180">
        <v>0.89</v>
      </c>
      <c r="F10" s="243" t="s">
        <v>397</v>
      </c>
      <c r="G10" s="108"/>
      <c r="H10" s="19"/>
      <c r="J10" s="95" t="s">
        <v>108</v>
      </c>
      <c r="L10" s="132"/>
    </row>
    <row r="11" spans="2:54" x14ac:dyDescent="0.2">
      <c r="B11" s="175"/>
      <c r="C11" s="124"/>
      <c r="D11" s="108"/>
      <c r="E11" s="178"/>
      <c r="F11" s="108"/>
      <c r="G11" s="108"/>
      <c r="H11" s="19"/>
      <c r="J11" s="104"/>
      <c r="K11" s="105"/>
      <c r="L11" s="136"/>
      <c r="M11" s="105"/>
      <c r="N11" s="105"/>
      <c r="O11" s="105"/>
      <c r="P11" s="106"/>
    </row>
    <row r="12" spans="2:54" x14ac:dyDescent="0.2">
      <c r="B12" s="175"/>
      <c r="C12" s="124" t="s">
        <v>109</v>
      </c>
      <c r="D12" s="108"/>
      <c r="E12" s="180">
        <v>0.13600000000000001</v>
      </c>
      <c r="F12" s="243" t="s">
        <v>397</v>
      </c>
      <c r="G12" s="108"/>
      <c r="H12" s="19"/>
      <c r="J12" s="112"/>
      <c r="K12" s="113" t="s">
        <v>58</v>
      </c>
      <c r="L12" s="174">
        <f>IF(E12=0,"",IF(L16="","",L16/E12))</f>
        <v>1.646550474122233</v>
      </c>
      <c r="M12" s="115" t="s">
        <v>94</v>
      </c>
      <c r="N12" s="115"/>
      <c r="O12" s="115"/>
      <c r="P12" s="116"/>
    </row>
    <row r="13" spans="2:54" x14ac:dyDescent="0.2">
      <c r="B13" s="175"/>
      <c r="C13" s="124"/>
      <c r="D13" s="108"/>
      <c r="E13" s="178"/>
      <c r="F13" s="108"/>
      <c r="G13" s="108"/>
      <c r="H13" s="19"/>
      <c r="J13" s="112"/>
      <c r="K13" s="118"/>
      <c r="L13" s="119"/>
      <c r="M13" s="120"/>
      <c r="N13" s="120"/>
      <c r="O13" s="120"/>
      <c r="P13" s="116"/>
    </row>
    <row r="14" spans="2:54" x14ac:dyDescent="0.2">
      <c r="B14" s="175"/>
      <c r="C14" s="124" t="s">
        <v>110</v>
      </c>
      <c r="D14" s="108"/>
      <c r="E14" s="180">
        <v>0.77</v>
      </c>
      <c r="F14" s="243" t="s">
        <v>397</v>
      </c>
      <c r="G14" s="108"/>
      <c r="H14" s="19"/>
      <c r="J14" s="121"/>
      <c r="K14" s="113" t="s">
        <v>58</v>
      </c>
      <c r="L14" s="174">
        <f>IF(E14=0,"",IF(L16="","",L16/E14))</f>
        <v>0.29081930452029053</v>
      </c>
      <c r="M14" s="115" t="s">
        <v>95</v>
      </c>
      <c r="N14" s="115"/>
      <c r="O14" s="115"/>
      <c r="P14" s="116"/>
    </row>
    <row r="15" spans="2:54" x14ac:dyDescent="0.2">
      <c r="B15" s="175"/>
      <c r="C15" s="124"/>
      <c r="D15" s="108"/>
      <c r="E15" s="178"/>
      <c r="F15" s="108"/>
      <c r="G15" s="108"/>
      <c r="H15" s="19"/>
      <c r="J15" s="121"/>
      <c r="K15" s="118"/>
      <c r="L15" s="119"/>
      <c r="M15" s="120"/>
      <c r="N15" s="120"/>
      <c r="O15" s="120"/>
      <c r="P15" s="116"/>
    </row>
    <row r="16" spans="2:54" x14ac:dyDescent="0.2">
      <c r="B16" s="175"/>
      <c r="C16" s="124" t="s">
        <v>111</v>
      </c>
      <c r="D16" s="108"/>
      <c r="E16" s="179">
        <v>75</v>
      </c>
      <c r="F16" s="108" t="s">
        <v>80</v>
      </c>
      <c r="G16" s="108"/>
      <c r="H16" s="19"/>
      <c r="J16" s="121"/>
      <c r="K16" s="113" t="s">
        <v>58</v>
      </c>
      <c r="L16" s="174">
        <f>IF(E8=0,"",IF(E10=0,"",($E$6+$E$16*IF($E$20="",0,IF(E20=0,0,$E$18/E20)))/$E$8/$E$10/(1-$E$22)))</f>
        <v>0.22393086448062371</v>
      </c>
      <c r="M16" s="115" t="s">
        <v>96</v>
      </c>
      <c r="N16" s="115"/>
      <c r="O16" s="115"/>
      <c r="P16" s="116"/>
    </row>
    <row r="17" spans="2:16" ht="13.5" thickBot="1" x14ac:dyDescent="0.25">
      <c r="B17" s="175"/>
      <c r="C17" s="124"/>
      <c r="D17" s="108"/>
      <c r="E17" s="178"/>
      <c r="F17" s="108"/>
      <c r="G17" s="108"/>
      <c r="H17" s="19"/>
      <c r="J17" s="127"/>
      <c r="K17" s="128"/>
      <c r="L17" s="129"/>
      <c r="M17" s="128"/>
      <c r="N17" s="128"/>
      <c r="O17" s="128"/>
      <c r="P17" s="130"/>
    </row>
    <row r="18" spans="2:16" x14ac:dyDescent="0.2">
      <c r="B18" s="175"/>
      <c r="C18" s="124" t="s">
        <v>112</v>
      </c>
      <c r="D18" s="155" t="s">
        <v>58</v>
      </c>
      <c r="E18" s="177">
        <v>5</v>
      </c>
      <c r="F18" s="108" t="s">
        <v>82</v>
      </c>
      <c r="G18" s="108"/>
      <c r="H18" s="19"/>
      <c r="L18" s="132"/>
    </row>
    <row r="19" spans="2:16" ht="18.75" thickBot="1" x14ac:dyDescent="0.3">
      <c r="B19" s="175"/>
      <c r="C19" s="124"/>
      <c r="D19" s="108"/>
      <c r="E19" s="178"/>
      <c r="F19" s="108"/>
      <c r="G19" s="108"/>
      <c r="H19" s="19"/>
      <c r="J19" s="95" t="s">
        <v>113</v>
      </c>
      <c r="L19" s="132"/>
    </row>
    <row r="20" spans="2:16" x14ac:dyDescent="0.2">
      <c r="B20" s="175"/>
      <c r="C20" s="124" t="str">
        <f>CONCATENATE("How many ",$F$20,"s are hauled per load?")</f>
        <v>How many bushels are hauled per load?</v>
      </c>
      <c r="D20" s="108"/>
      <c r="E20" s="179">
        <v>1500</v>
      </c>
      <c r="F20" s="108" t="str">
        <f>IF(E8=2000,"ton",IF(E8=100,"hundredweight",IF(E8&gt;31,IF(E8&lt;71,"bushel","unit"),"unit")))</f>
        <v>bushel</v>
      </c>
      <c r="G20" s="108"/>
      <c r="H20" s="19"/>
      <c r="J20" s="104"/>
      <c r="K20" s="105"/>
      <c r="L20" s="136"/>
      <c r="M20" s="105"/>
      <c r="N20" s="105"/>
      <c r="O20" s="105"/>
      <c r="P20" s="106"/>
    </row>
    <row r="21" spans="2:16" x14ac:dyDescent="0.2">
      <c r="B21" s="175"/>
      <c r="C21" s="124"/>
      <c r="D21" s="108"/>
      <c r="E21" s="178"/>
      <c r="F21" s="108"/>
      <c r="G21" s="108"/>
      <c r="H21" s="19"/>
      <c r="J21" s="112"/>
      <c r="K21" s="113" t="s">
        <v>58</v>
      </c>
      <c r="L21" s="174">
        <f>IF(E12=0,"",IF(L25="","",L25/E12))</f>
        <v>1.6657901669350068</v>
      </c>
      <c r="M21" s="115" t="s">
        <v>94</v>
      </c>
      <c r="N21" s="115"/>
      <c r="O21" s="115"/>
      <c r="P21" s="116"/>
    </row>
    <row r="22" spans="2:16" x14ac:dyDescent="0.2">
      <c r="B22" s="175"/>
      <c r="C22" s="124" t="s">
        <v>114</v>
      </c>
      <c r="D22" s="108"/>
      <c r="E22" s="180">
        <v>0.02</v>
      </c>
      <c r="F22" s="108"/>
      <c r="G22" s="108"/>
      <c r="H22" s="19"/>
      <c r="J22" s="112"/>
      <c r="K22" s="118"/>
      <c r="L22" s="119"/>
      <c r="M22" s="120"/>
      <c r="N22" s="120"/>
      <c r="O22" s="120"/>
      <c r="P22" s="116"/>
    </row>
    <row r="23" spans="2:16" x14ac:dyDescent="0.2">
      <c r="B23" s="175"/>
      <c r="C23" s="124"/>
      <c r="D23" s="108"/>
      <c r="E23" s="178"/>
      <c r="F23" s="108"/>
      <c r="G23" s="108"/>
      <c r="H23" s="19"/>
      <c r="J23" s="121"/>
      <c r="K23" s="113" t="s">
        <v>58</v>
      </c>
      <c r="L23" s="174">
        <f>IF(E14=0,"",IF(L25="","",L25/E14))</f>
        <v>0.29421748403007913</v>
      </c>
      <c r="M23" s="115" t="s">
        <v>95</v>
      </c>
      <c r="N23" s="115"/>
      <c r="O23" s="115"/>
      <c r="P23" s="116"/>
    </row>
    <row r="24" spans="2:16" x14ac:dyDescent="0.2">
      <c r="B24" s="175"/>
      <c r="C24" s="124" t="s">
        <v>115</v>
      </c>
      <c r="D24" s="155" t="s">
        <v>58</v>
      </c>
      <c r="E24" s="177">
        <v>0.01</v>
      </c>
      <c r="F24" s="108" t="str">
        <f>CONCATENATE("per ",$F$20)</f>
        <v>per bushel</v>
      </c>
      <c r="G24" s="108"/>
      <c r="H24" s="19"/>
      <c r="J24" s="121"/>
      <c r="K24" s="118"/>
      <c r="L24" s="119"/>
      <c r="M24" s="120"/>
      <c r="N24" s="120"/>
      <c r="O24" s="120"/>
      <c r="P24" s="116"/>
    </row>
    <row r="25" spans="2:16" x14ac:dyDescent="0.2">
      <c r="B25" s="175"/>
      <c r="C25" s="124"/>
      <c r="D25" s="108"/>
      <c r="E25" s="178"/>
      <c r="F25" s="108"/>
      <c r="G25" s="108"/>
      <c r="H25" s="19"/>
      <c r="J25" s="121"/>
      <c r="K25" s="113" t="s">
        <v>58</v>
      </c>
      <c r="L25" s="174">
        <f>IF(E8=0,"",IF(E10=0,"",IF(E20=0,"",(E6+E16*E18/E20+E24*(1-E22))/E8/E10/(1-E22)/(1-E26))))</f>
        <v>0.22654746270316095</v>
      </c>
      <c r="M25" s="115" t="s">
        <v>96</v>
      </c>
      <c r="N25" s="115"/>
      <c r="O25" s="115"/>
      <c r="P25" s="116"/>
    </row>
    <row r="26" spans="2:16" ht="13.5" thickBot="1" x14ac:dyDescent="0.25">
      <c r="B26" s="175"/>
      <c r="C26" s="124" t="s">
        <v>116</v>
      </c>
      <c r="D26" s="108"/>
      <c r="E26" s="180">
        <v>0.01</v>
      </c>
      <c r="F26" s="108"/>
      <c r="G26" s="108"/>
      <c r="H26" s="19"/>
      <c r="J26" s="127"/>
      <c r="K26" s="128"/>
      <c r="L26" s="129"/>
      <c r="M26" s="128"/>
      <c r="N26" s="128"/>
      <c r="O26" s="128"/>
      <c r="P26" s="130"/>
    </row>
    <row r="27" spans="2:16" x14ac:dyDescent="0.2">
      <c r="B27" s="175"/>
      <c r="C27" s="124"/>
      <c r="D27" s="108"/>
      <c r="E27" s="178"/>
      <c r="F27" s="108"/>
      <c r="G27" s="108"/>
      <c r="H27" s="19"/>
      <c r="L27" s="132"/>
    </row>
    <row r="28" spans="2:16" ht="18.75" thickBot="1" x14ac:dyDescent="0.3">
      <c r="B28" s="175"/>
      <c r="C28" s="124" t="s">
        <v>117</v>
      </c>
      <c r="D28" s="155" t="s">
        <v>58</v>
      </c>
      <c r="E28" s="177">
        <v>0.05</v>
      </c>
      <c r="F28" s="108" t="str">
        <f>CONCATENATE("per ",$F$20)</f>
        <v>per bushel</v>
      </c>
      <c r="G28" s="108"/>
      <c r="H28" s="19"/>
      <c r="J28" s="95" t="s">
        <v>118</v>
      </c>
      <c r="L28" s="132"/>
    </row>
    <row r="29" spans="2:16" x14ac:dyDescent="0.2">
      <c r="B29" s="175"/>
      <c r="C29" s="124"/>
      <c r="D29" s="108"/>
      <c r="E29" s="178"/>
      <c r="F29" s="108"/>
      <c r="G29" s="108"/>
      <c r="H29" s="19"/>
      <c r="J29" s="104"/>
      <c r="K29" s="105"/>
      <c r="L29" s="136"/>
      <c r="M29" s="105"/>
      <c r="N29" s="105"/>
      <c r="O29" s="105"/>
      <c r="P29" s="106"/>
    </row>
    <row r="30" spans="2:16" x14ac:dyDescent="0.2">
      <c r="B30" s="175"/>
      <c r="C30" s="124" t="s">
        <v>119</v>
      </c>
      <c r="D30" s="108"/>
      <c r="E30" s="180">
        <v>7.0000000000000007E-2</v>
      </c>
      <c r="F30" s="108"/>
      <c r="G30" s="108"/>
      <c r="H30" s="19"/>
      <c r="J30" s="112"/>
      <c r="K30" s="113" t="s">
        <v>58</v>
      </c>
      <c r="L30" s="174">
        <f>IF(E12=0,"",IF(L34=0,0,L34/E12))</f>
        <v>1.8050528200560485</v>
      </c>
      <c r="M30" s="115" t="s">
        <v>94</v>
      </c>
      <c r="N30" s="115"/>
      <c r="O30" s="115"/>
      <c r="P30" s="116"/>
    </row>
    <row r="31" spans="2:16" ht="13.5" thickBot="1" x14ac:dyDescent="0.25">
      <c r="B31" s="36"/>
      <c r="C31" s="37"/>
      <c r="D31" s="37"/>
      <c r="E31" s="37"/>
      <c r="F31" s="37"/>
      <c r="G31" s="37"/>
      <c r="H31" s="38"/>
      <c r="J31" s="112"/>
      <c r="K31" s="118"/>
      <c r="L31" s="119"/>
      <c r="M31" s="120"/>
      <c r="N31" s="120"/>
      <c r="O31" s="120"/>
      <c r="P31" s="116"/>
    </row>
    <row r="32" spans="2:16" ht="13.5" thickBot="1" x14ac:dyDescent="0.25">
      <c r="J32" s="121"/>
      <c r="K32" s="113" t="s">
        <v>58</v>
      </c>
      <c r="L32" s="174">
        <f>IF(E14=0,"",IF(L34=0,0,L34/E14))</f>
        <v>0.31881452406184752</v>
      </c>
      <c r="M32" s="115" t="s">
        <v>95</v>
      </c>
      <c r="N32" s="115"/>
      <c r="O32" s="115"/>
      <c r="P32" s="116"/>
    </row>
    <row r="33" spans="2:16" x14ac:dyDescent="0.2">
      <c r="B33" s="104"/>
      <c r="C33" s="105"/>
      <c r="D33" s="105"/>
      <c r="E33" s="105"/>
      <c r="F33" s="105"/>
      <c r="G33" s="105"/>
      <c r="H33" s="106"/>
      <c r="J33" s="121"/>
      <c r="K33" s="118"/>
      <c r="L33" s="119"/>
      <c r="M33" s="120"/>
      <c r="N33" s="120"/>
      <c r="O33" s="120"/>
      <c r="P33" s="116"/>
    </row>
    <row r="34" spans="2:16" ht="18" x14ac:dyDescent="0.25">
      <c r="B34" s="121"/>
      <c r="C34" s="236" t="s">
        <v>160</v>
      </c>
      <c r="D34" s="120"/>
      <c r="E34" s="249">
        <f>IF(L34=0,0,L34*E10)</f>
        <v>0.21848359333958411</v>
      </c>
      <c r="F34" s="249"/>
      <c r="G34" s="249"/>
      <c r="H34" s="250"/>
      <c r="J34" s="121"/>
      <c r="K34" s="113" t="s">
        <v>58</v>
      </c>
      <c r="L34" s="174">
        <f>IF(E8=0,0,IF(E10=0,0,IF(E20=0,0,(E6+E16*E18/E20+E24*(1-E22)+E28*(1-E22)*(1-E26))/E8/E10/(1-E22)/(1-E26)/(1-E30))))</f>
        <v>0.24548718352762261</v>
      </c>
      <c r="M34" s="115" t="s">
        <v>96</v>
      </c>
      <c r="N34" s="115"/>
      <c r="O34" s="115"/>
      <c r="P34" s="116"/>
    </row>
    <row r="35" spans="2:16" ht="13.5" thickBot="1" x14ac:dyDescent="0.25">
      <c r="B35" s="127"/>
      <c r="C35" s="128"/>
      <c r="D35" s="128"/>
      <c r="E35" s="128"/>
      <c r="F35" s="128"/>
      <c r="G35" s="128"/>
      <c r="H35" s="130"/>
      <c r="J35" s="127"/>
      <c r="K35" s="128"/>
      <c r="L35" s="128"/>
      <c r="M35" s="128"/>
      <c r="N35" s="128"/>
      <c r="O35" s="128"/>
      <c r="P35" s="130"/>
    </row>
    <row r="37" spans="2:16" x14ac:dyDescent="0.2">
      <c r="B37" s="244" t="s">
        <v>397</v>
      </c>
      <c r="C37" s="246" t="s">
        <v>398</v>
      </c>
      <c r="D37" s="246"/>
      <c r="E37" s="246"/>
    </row>
  </sheetData>
  <sheetProtection sheet="1" objects="1" scenarios="1"/>
  <mergeCells count="3">
    <mergeCell ref="E4:G4"/>
    <mergeCell ref="E34:F34"/>
    <mergeCell ref="G34:H34"/>
  </mergeCells>
  <phoneticPr fontId="2" type="noConversion"/>
  <dataValidations count="2">
    <dataValidation type="decimal" operator="greaterThanOrEqual" allowBlank="1" showInputMessage="1" showErrorMessage="1" errorTitle="Restricted Data Entry" error="Only numbers greater than or equal to zero can be entered in this cell." sqref="E6 E16 E18 E20 E22 E24 E26 E28 E30">
      <formula1>0</formula1>
    </dataValidation>
    <dataValidation type="decimal" operator="greaterThan" allowBlank="1" showInputMessage="1" showErrorMessage="1" errorTitle="Restricted Data Entry" error="Only numbers greater than zero can be entered in this cell." sqref="E8 E10 E12 E14">
      <formula1>0</formula1>
    </dataValidation>
  </dataValidations>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BB37"/>
  <sheetViews>
    <sheetView workbookViewId="0"/>
  </sheetViews>
  <sheetFormatPr defaultRowHeight="12.75" x14ac:dyDescent="0.2"/>
  <cols>
    <col min="1" max="1" width="4" style="6" customWidth="1"/>
    <col min="2" max="2" width="4.42578125" style="6" customWidth="1"/>
    <col min="3" max="3" width="36.85546875" style="6" customWidth="1"/>
    <col min="4" max="4" width="9.140625" style="6"/>
    <col min="5" max="5" width="10.7109375" style="6" customWidth="1"/>
    <col min="6" max="7" width="9.140625" style="6"/>
    <col min="8" max="9" width="4.85546875" style="6" customWidth="1"/>
    <col min="10" max="10" width="4.5703125" style="6" customWidth="1"/>
    <col min="11" max="11" width="3.7109375" style="6" customWidth="1"/>
    <col min="12" max="13" width="9.140625" style="6"/>
    <col min="14" max="14" width="13.7109375" style="6" bestFit="1" customWidth="1"/>
    <col min="15" max="15" width="13.7109375" style="6" customWidth="1"/>
    <col min="16" max="16" width="4.5703125" style="6" customWidth="1"/>
    <col min="17" max="17" width="19.28515625" style="6" bestFit="1" customWidth="1"/>
    <col min="18" max="16384" width="9.140625" style="6"/>
  </cols>
  <sheetData>
    <row r="1" spans="2:54" ht="18.75" thickBot="1" x14ac:dyDescent="0.3">
      <c r="B1" s="6">
        <v>6</v>
      </c>
      <c r="J1" s="95" t="s">
        <v>97</v>
      </c>
    </row>
    <row r="2" spans="2:54" ht="18.75" thickBot="1" x14ac:dyDescent="0.3">
      <c r="B2" s="95" t="s">
        <v>98</v>
      </c>
      <c r="J2" s="104"/>
      <c r="K2" s="105"/>
      <c r="L2" s="105"/>
      <c r="M2" s="105"/>
      <c r="N2" s="105"/>
      <c r="O2" s="105"/>
      <c r="P2" s="106"/>
    </row>
    <row r="3" spans="2:54" x14ac:dyDescent="0.2">
      <c r="B3" s="173"/>
      <c r="C3" s="97"/>
      <c r="D3" s="97"/>
      <c r="E3" s="97"/>
      <c r="F3" s="97"/>
      <c r="G3" s="97"/>
      <c r="H3" s="52"/>
      <c r="J3" s="112"/>
      <c r="K3" s="113" t="s">
        <v>58</v>
      </c>
      <c r="L3" s="174">
        <f>IF(E12=0,"",IF(L7="","",L7/E12))</f>
        <v>1.0728776529338326</v>
      </c>
      <c r="M3" s="115" t="s">
        <v>94</v>
      </c>
      <c r="N3" s="115"/>
      <c r="O3" s="115"/>
      <c r="P3" s="116"/>
    </row>
    <row r="4" spans="2:54" x14ac:dyDescent="0.2">
      <c r="B4" s="175"/>
      <c r="C4" s="124" t="s">
        <v>99</v>
      </c>
      <c r="D4" s="108"/>
      <c r="E4" s="248" t="s">
        <v>162</v>
      </c>
      <c r="F4" s="248"/>
      <c r="G4" s="248"/>
      <c r="H4" s="176"/>
      <c r="I4" s="123"/>
      <c r="J4" s="112"/>
      <c r="K4" s="118"/>
      <c r="L4" s="119"/>
      <c r="M4" s="120"/>
      <c r="N4" s="120"/>
      <c r="O4" s="120"/>
      <c r="P4" s="116"/>
      <c r="AH4" s="6" t="s">
        <v>6</v>
      </c>
      <c r="AI4" s="6" t="s">
        <v>30</v>
      </c>
      <c r="AJ4" s="6" t="s">
        <v>100</v>
      </c>
      <c r="AK4" s="6" t="s">
        <v>33</v>
      </c>
      <c r="AL4" s="6" t="s">
        <v>101</v>
      </c>
      <c r="AM4" s="6" t="s">
        <v>102</v>
      </c>
      <c r="AQ4" s="6" t="s">
        <v>41</v>
      </c>
      <c r="AR4" s="6" t="s">
        <v>80</v>
      </c>
      <c r="AS4" s="6" t="s">
        <v>42</v>
      </c>
      <c r="AU4" s="6" t="s">
        <v>44</v>
      </c>
      <c r="AW4" s="6" t="s">
        <v>30</v>
      </c>
      <c r="AX4" s="6" t="s">
        <v>44</v>
      </c>
      <c r="AZ4" s="6" t="s">
        <v>30</v>
      </c>
      <c r="BA4" s="6" t="s">
        <v>44</v>
      </c>
      <c r="BB4" s="6" t="s">
        <v>103</v>
      </c>
    </row>
    <row r="5" spans="2:54" x14ac:dyDescent="0.2">
      <c r="B5" s="175"/>
      <c r="C5" s="124"/>
      <c r="D5" s="108"/>
      <c r="E5" s="108"/>
      <c r="F5" s="108"/>
      <c r="G5" s="108"/>
      <c r="H5" s="19"/>
      <c r="I5" s="123"/>
      <c r="J5" s="121"/>
      <c r="K5" s="113" t="s">
        <v>58</v>
      </c>
      <c r="L5" s="174">
        <f>IF(E14=0,"",IF(L7="","",L7/E14))</f>
        <v>0.15511484138802398</v>
      </c>
      <c r="M5" s="115" t="s">
        <v>95</v>
      </c>
      <c r="N5" s="115"/>
      <c r="O5" s="115"/>
      <c r="P5" s="116"/>
    </row>
    <row r="6" spans="2:54" x14ac:dyDescent="0.2">
      <c r="B6" s="175"/>
      <c r="C6" s="124" t="s">
        <v>104</v>
      </c>
      <c r="D6" s="155" t="s">
        <v>58</v>
      </c>
      <c r="E6" s="177">
        <v>5.5</v>
      </c>
      <c r="F6" s="108"/>
      <c r="G6" s="108"/>
      <c r="H6" s="19"/>
      <c r="J6" s="121"/>
      <c r="K6" s="118"/>
      <c r="L6" s="119"/>
      <c r="M6" s="120"/>
      <c r="N6" s="120"/>
      <c r="O6" s="120"/>
      <c r="P6" s="116"/>
      <c r="AG6" s="6">
        <v>1</v>
      </c>
      <c r="AH6" s="6" t="str">
        <f>E4</f>
        <v>Barley</v>
      </c>
      <c r="AI6" s="131">
        <f>E6</f>
        <v>5.5</v>
      </c>
      <c r="AJ6" s="131">
        <f>E8</f>
        <v>48</v>
      </c>
      <c r="AK6" s="131">
        <f>E10</f>
        <v>0.89</v>
      </c>
      <c r="AL6" s="131">
        <f>E12</f>
        <v>0.12</v>
      </c>
      <c r="AM6" s="131">
        <f>E14</f>
        <v>0.83</v>
      </c>
      <c r="AQ6" s="131">
        <f>E18</f>
        <v>5</v>
      </c>
      <c r="AR6" s="131">
        <f>E16</f>
        <v>75</v>
      </c>
      <c r="AS6" s="131">
        <f>E20</f>
        <v>1100</v>
      </c>
      <c r="AU6" s="131">
        <f>E22</f>
        <v>0.01</v>
      </c>
      <c r="AW6" s="131">
        <f>E24</f>
        <v>0.04</v>
      </c>
      <c r="AX6" s="131">
        <f>E26</f>
        <v>0.02</v>
      </c>
      <c r="AZ6" s="131">
        <f>E28</f>
        <v>0.03</v>
      </c>
      <c r="BA6" s="131">
        <f>E30</f>
        <v>0.04</v>
      </c>
    </row>
    <row r="7" spans="2:54" x14ac:dyDescent="0.2">
      <c r="B7" s="175"/>
      <c r="C7" s="124"/>
      <c r="D7" s="108"/>
      <c r="E7" s="178"/>
      <c r="F7" s="108"/>
      <c r="G7" s="108"/>
      <c r="H7" s="19"/>
      <c r="J7" s="121"/>
      <c r="K7" s="113" t="s">
        <v>58</v>
      </c>
      <c r="L7" s="174">
        <f>IF(E8=0,"",IF(E10=0,"",$E$6/$E$8/$E$10))</f>
        <v>0.12874531835205991</v>
      </c>
      <c r="M7" s="115" t="s">
        <v>96</v>
      </c>
      <c r="N7" s="115"/>
      <c r="O7" s="115"/>
      <c r="P7" s="116"/>
      <c r="AI7" s="131"/>
      <c r="AJ7" s="131"/>
      <c r="AK7" s="131"/>
      <c r="AL7" s="131"/>
      <c r="AM7" s="131"/>
      <c r="AQ7" s="131"/>
      <c r="AR7" s="131"/>
      <c r="AS7" s="131"/>
      <c r="AU7" s="131"/>
      <c r="AW7" s="131"/>
      <c r="AX7" s="131"/>
      <c r="AZ7" s="131"/>
      <c r="BA7" s="131"/>
    </row>
    <row r="8" spans="2:54" ht="13.5" thickBot="1" x14ac:dyDescent="0.25">
      <c r="B8" s="175"/>
      <c r="C8" s="124" t="s">
        <v>105</v>
      </c>
      <c r="D8" s="108"/>
      <c r="E8" s="179">
        <v>48</v>
      </c>
      <c r="F8" s="108" t="s">
        <v>106</v>
      </c>
      <c r="G8" s="108"/>
      <c r="H8" s="19"/>
      <c r="J8" s="127"/>
      <c r="K8" s="128"/>
      <c r="L8" s="129"/>
      <c r="M8" s="128"/>
      <c r="N8" s="128"/>
      <c r="O8" s="128"/>
      <c r="P8" s="130"/>
    </row>
    <row r="9" spans="2:54" x14ac:dyDescent="0.2">
      <c r="B9" s="175"/>
      <c r="C9" s="124"/>
      <c r="D9" s="108"/>
      <c r="E9" s="178"/>
      <c r="F9" s="108"/>
      <c r="G9" s="108"/>
      <c r="H9" s="19"/>
      <c r="L9" s="132"/>
    </row>
    <row r="10" spans="2:54" ht="18.75" thickBot="1" x14ac:dyDescent="0.3">
      <c r="B10" s="175"/>
      <c r="C10" s="124" t="s">
        <v>107</v>
      </c>
      <c r="D10" s="108"/>
      <c r="E10" s="180">
        <v>0.89</v>
      </c>
      <c r="F10" s="243" t="s">
        <v>397</v>
      </c>
      <c r="G10" s="108"/>
      <c r="H10" s="19"/>
      <c r="J10" s="95" t="s">
        <v>108</v>
      </c>
      <c r="L10" s="132"/>
    </row>
    <row r="11" spans="2:54" x14ac:dyDescent="0.2">
      <c r="B11" s="175"/>
      <c r="C11" s="124"/>
      <c r="D11" s="108"/>
      <c r="E11" s="178"/>
      <c r="F11" s="108"/>
      <c r="G11" s="108"/>
      <c r="H11" s="19"/>
      <c r="J11" s="104"/>
      <c r="K11" s="105"/>
      <c r="L11" s="136"/>
      <c r="M11" s="105"/>
      <c r="N11" s="105"/>
      <c r="O11" s="105"/>
      <c r="P11" s="106"/>
    </row>
    <row r="12" spans="2:54" x14ac:dyDescent="0.2">
      <c r="B12" s="175"/>
      <c r="C12" s="124" t="s">
        <v>109</v>
      </c>
      <c r="D12" s="108"/>
      <c r="E12" s="180">
        <v>0.12</v>
      </c>
      <c r="F12" s="243" t="s">
        <v>397</v>
      </c>
      <c r="G12" s="108"/>
      <c r="H12" s="19"/>
      <c r="J12" s="112"/>
      <c r="K12" s="113" t="s">
        <v>58</v>
      </c>
      <c r="L12" s="174">
        <f>IF(E12=0,"",IF(L16="","",L16/E12))</f>
        <v>1.1508872059604098</v>
      </c>
      <c r="M12" s="115" t="s">
        <v>94</v>
      </c>
      <c r="N12" s="115"/>
      <c r="O12" s="115"/>
      <c r="P12" s="116"/>
    </row>
    <row r="13" spans="2:54" x14ac:dyDescent="0.2">
      <c r="B13" s="175"/>
      <c r="C13" s="124"/>
      <c r="D13" s="108"/>
      <c r="E13" s="178"/>
      <c r="F13" s="108"/>
      <c r="G13" s="108"/>
      <c r="H13" s="19"/>
      <c r="J13" s="112"/>
      <c r="K13" s="118"/>
      <c r="L13" s="119"/>
      <c r="M13" s="120"/>
      <c r="N13" s="120"/>
      <c r="O13" s="120"/>
      <c r="P13" s="116"/>
    </row>
    <row r="14" spans="2:54" x14ac:dyDescent="0.2">
      <c r="B14" s="175"/>
      <c r="C14" s="124" t="s">
        <v>110</v>
      </c>
      <c r="D14" s="108"/>
      <c r="E14" s="180">
        <v>0.83</v>
      </c>
      <c r="F14" s="243" t="s">
        <v>397</v>
      </c>
      <c r="G14" s="108"/>
      <c r="H14" s="19"/>
      <c r="J14" s="121"/>
      <c r="K14" s="113" t="s">
        <v>58</v>
      </c>
      <c r="L14" s="174">
        <f>IF(E14=0,"",IF(L16="","",L16/E14))</f>
        <v>0.16639333098222794</v>
      </c>
      <c r="M14" s="115" t="s">
        <v>95</v>
      </c>
      <c r="N14" s="115"/>
      <c r="O14" s="115"/>
      <c r="P14" s="116"/>
    </row>
    <row r="15" spans="2:54" x14ac:dyDescent="0.2">
      <c r="B15" s="175"/>
      <c r="C15" s="124"/>
      <c r="D15" s="108"/>
      <c r="E15" s="178"/>
      <c r="F15" s="108"/>
      <c r="G15" s="108"/>
      <c r="H15" s="19"/>
      <c r="J15" s="121"/>
      <c r="K15" s="118"/>
      <c r="L15" s="119"/>
      <c r="M15" s="120"/>
      <c r="N15" s="120"/>
      <c r="O15" s="120"/>
      <c r="P15" s="116"/>
    </row>
    <row r="16" spans="2:54" x14ac:dyDescent="0.2">
      <c r="B16" s="175"/>
      <c r="C16" s="124" t="s">
        <v>111</v>
      </c>
      <c r="D16" s="108"/>
      <c r="E16" s="179">
        <v>75</v>
      </c>
      <c r="F16" s="108" t="s">
        <v>80</v>
      </c>
      <c r="G16" s="108"/>
      <c r="H16" s="19"/>
      <c r="J16" s="121"/>
      <c r="K16" s="113" t="s">
        <v>58</v>
      </c>
      <c r="L16" s="174">
        <f>IF(E8=0,"",IF(E10=0,"",($E$6+$E$16*IF($E$20="",0,IF(E20=0,0,$E$18/E20)))/$E$8/$E$10/(1-$E$22)))</f>
        <v>0.13810646471524918</v>
      </c>
      <c r="M16" s="115" t="s">
        <v>96</v>
      </c>
      <c r="N16" s="115"/>
      <c r="O16" s="115"/>
      <c r="P16" s="116"/>
    </row>
    <row r="17" spans="2:16" ht="13.5" thickBot="1" x14ac:dyDescent="0.25">
      <c r="B17" s="175"/>
      <c r="C17" s="124"/>
      <c r="D17" s="108"/>
      <c r="E17" s="178"/>
      <c r="F17" s="108"/>
      <c r="G17" s="108"/>
      <c r="H17" s="19"/>
      <c r="J17" s="127"/>
      <c r="K17" s="128"/>
      <c r="L17" s="129"/>
      <c r="M17" s="128"/>
      <c r="N17" s="128"/>
      <c r="O17" s="128"/>
      <c r="P17" s="130"/>
    </row>
    <row r="18" spans="2:16" x14ac:dyDescent="0.2">
      <c r="B18" s="175"/>
      <c r="C18" s="124" t="s">
        <v>112</v>
      </c>
      <c r="D18" s="155" t="s">
        <v>58</v>
      </c>
      <c r="E18" s="177">
        <v>5</v>
      </c>
      <c r="F18" s="108" t="s">
        <v>82</v>
      </c>
      <c r="G18" s="108"/>
      <c r="H18" s="19"/>
      <c r="L18" s="132"/>
    </row>
    <row r="19" spans="2:16" ht="18.75" thickBot="1" x14ac:dyDescent="0.3">
      <c r="B19" s="175"/>
      <c r="C19" s="124"/>
      <c r="D19" s="108"/>
      <c r="E19" s="178"/>
      <c r="F19" s="108"/>
      <c r="G19" s="108"/>
      <c r="H19" s="19"/>
      <c r="J19" s="95" t="s">
        <v>113</v>
      </c>
      <c r="L19" s="132"/>
    </row>
    <row r="20" spans="2:16" x14ac:dyDescent="0.2">
      <c r="B20" s="175"/>
      <c r="C20" s="124" t="str">
        <f>CONCATENATE("How many ",$F$20,"s are hauled per load?")</f>
        <v>How many bushels are hauled per load?</v>
      </c>
      <c r="D20" s="108"/>
      <c r="E20" s="179">
        <v>1100</v>
      </c>
      <c r="F20" s="108" t="str">
        <f>IF(E8=2000,"ton",IF(E8=100,"hundredweight",IF(E8&gt;31,IF(E8&lt;71,"bushel","unit"),"unit")))</f>
        <v>bushel</v>
      </c>
      <c r="G20" s="108"/>
      <c r="H20" s="19"/>
      <c r="J20" s="104"/>
      <c r="K20" s="105"/>
      <c r="L20" s="136"/>
      <c r="M20" s="105"/>
      <c r="N20" s="105"/>
      <c r="O20" s="105"/>
      <c r="P20" s="106"/>
    </row>
    <row r="21" spans="2:16" x14ac:dyDescent="0.2">
      <c r="B21" s="175"/>
      <c r="C21" s="124"/>
      <c r="D21" s="108"/>
      <c r="E21" s="178"/>
      <c r="F21" s="108"/>
      <c r="G21" s="108"/>
      <c r="H21" s="19"/>
      <c r="J21" s="112"/>
      <c r="K21" s="113" t="s">
        <v>58</v>
      </c>
      <c r="L21" s="174">
        <f>IF(E12=0,"",IF(L25="","",L25/E12))</f>
        <v>1.1823366862522464</v>
      </c>
      <c r="M21" s="115" t="s">
        <v>94</v>
      </c>
      <c r="N21" s="115"/>
      <c r="O21" s="115"/>
      <c r="P21" s="116"/>
    </row>
    <row r="22" spans="2:16" x14ac:dyDescent="0.2">
      <c r="B22" s="175"/>
      <c r="C22" s="124" t="s">
        <v>114</v>
      </c>
      <c r="D22" s="108"/>
      <c r="E22" s="180">
        <v>0.01</v>
      </c>
      <c r="F22" s="108"/>
      <c r="G22" s="108"/>
      <c r="H22" s="19"/>
      <c r="J22" s="112"/>
      <c r="K22" s="118"/>
      <c r="L22" s="119"/>
      <c r="M22" s="120"/>
      <c r="N22" s="120"/>
      <c r="O22" s="120"/>
      <c r="P22" s="116"/>
    </row>
    <row r="23" spans="2:16" x14ac:dyDescent="0.2">
      <c r="B23" s="175"/>
      <c r="C23" s="124"/>
      <c r="D23" s="108"/>
      <c r="E23" s="178"/>
      <c r="F23" s="108"/>
      <c r="G23" s="108"/>
      <c r="H23" s="19"/>
      <c r="J23" s="121"/>
      <c r="K23" s="113" t="s">
        <v>58</v>
      </c>
      <c r="L23" s="174">
        <f>IF(E14=0,"",IF(L25="","",L25/E14))</f>
        <v>0.17094024379550549</v>
      </c>
      <c r="M23" s="115" t="s">
        <v>95</v>
      </c>
      <c r="N23" s="115"/>
      <c r="O23" s="115"/>
      <c r="P23" s="116"/>
    </row>
    <row r="24" spans="2:16" x14ac:dyDescent="0.2">
      <c r="B24" s="175"/>
      <c r="C24" s="124" t="s">
        <v>115</v>
      </c>
      <c r="D24" s="155" t="s">
        <v>58</v>
      </c>
      <c r="E24" s="177">
        <v>0.04</v>
      </c>
      <c r="F24" s="108" t="str">
        <f>CONCATENATE("per ",$F$20)</f>
        <v>per bushel</v>
      </c>
      <c r="G24" s="108"/>
      <c r="H24" s="19"/>
      <c r="J24" s="121"/>
      <c r="K24" s="118"/>
      <c r="L24" s="119"/>
      <c r="M24" s="120"/>
      <c r="N24" s="120"/>
      <c r="O24" s="120"/>
      <c r="P24" s="116"/>
    </row>
    <row r="25" spans="2:16" x14ac:dyDescent="0.2">
      <c r="B25" s="175"/>
      <c r="C25" s="124"/>
      <c r="D25" s="108"/>
      <c r="E25" s="178"/>
      <c r="F25" s="108"/>
      <c r="G25" s="108"/>
      <c r="H25" s="19"/>
      <c r="J25" s="121"/>
      <c r="K25" s="113" t="s">
        <v>58</v>
      </c>
      <c r="L25" s="174">
        <f>IF(E8=0,"",IF(E10=0,"",IF(E20=0,"",(E6+E16*E18/E20+E24*(1-E22))/E8/E10/(1-E22)/(1-E26))))</f>
        <v>0.14188040235026955</v>
      </c>
      <c r="M25" s="115" t="s">
        <v>96</v>
      </c>
      <c r="N25" s="115"/>
      <c r="O25" s="115"/>
      <c r="P25" s="116"/>
    </row>
    <row r="26" spans="2:16" ht="13.5" thickBot="1" x14ac:dyDescent="0.25">
      <c r="B26" s="175"/>
      <c r="C26" s="124" t="s">
        <v>116</v>
      </c>
      <c r="D26" s="108"/>
      <c r="E26" s="180">
        <v>0.02</v>
      </c>
      <c r="F26" s="108"/>
      <c r="G26" s="108"/>
      <c r="H26" s="19"/>
      <c r="J26" s="127"/>
      <c r="K26" s="128"/>
      <c r="L26" s="129"/>
      <c r="M26" s="128"/>
      <c r="N26" s="128"/>
      <c r="O26" s="128"/>
      <c r="P26" s="130"/>
    </row>
    <row r="27" spans="2:16" x14ac:dyDescent="0.2">
      <c r="B27" s="175"/>
      <c r="C27" s="124"/>
      <c r="D27" s="108"/>
      <c r="E27" s="178"/>
      <c r="F27" s="108"/>
      <c r="G27" s="108"/>
      <c r="H27" s="19"/>
      <c r="L27" s="132"/>
    </row>
    <row r="28" spans="2:16" ht="18.75" thickBot="1" x14ac:dyDescent="0.3">
      <c r="B28" s="175"/>
      <c r="C28" s="124" t="s">
        <v>117</v>
      </c>
      <c r="D28" s="155" t="s">
        <v>58</v>
      </c>
      <c r="E28" s="177">
        <v>0.03</v>
      </c>
      <c r="F28" s="108" t="str">
        <f>CONCATENATE("per ",$F$20)</f>
        <v>per bushel</v>
      </c>
      <c r="G28" s="108"/>
      <c r="H28" s="19"/>
      <c r="J28" s="95" t="s">
        <v>118</v>
      </c>
      <c r="L28" s="132"/>
    </row>
    <row r="29" spans="2:16" x14ac:dyDescent="0.2">
      <c r="B29" s="175"/>
      <c r="C29" s="124"/>
      <c r="D29" s="108"/>
      <c r="E29" s="178"/>
      <c r="F29" s="108"/>
      <c r="G29" s="108"/>
      <c r="H29" s="19"/>
      <c r="J29" s="104"/>
      <c r="K29" s="105"/>
      <c r="L29" s="136"/>
      <c r="M29" s="105"/>
      <c r="N29" s="105"/>
      <c r="O29" s="105"/>
      <c r="P29" s="106"/>
    </row>
    <row r="30" spans="2:16" x14ac:dyDescent="0.2">
      <c r="B30" s="175"/>
      <c r="C30" s="124" t="s">
        <v>119</v>
      </c>
      <c r="D30" s="108"/>
      <c r="E30" s="180">
        <v>0.04</v>
      </c>
      <c r="F30" s="108"/>
      <c r="G30" s="108"/>
      <c r="H30" s="19"/>
      <c r="J30" s="112"/>
      <c r="K30" s="113" t="s">
        <v>58</v>
      </c>
      <c r="L30" s="174">
        <f>IF(E12=0,"",IF(L34=0,0,L34/E12))</f>
        <v>1.237696610601396</v>
      </c>
      <c r="M30" s="115" t="s">
        <v>94</v>
      </c>
      <c r="N30" s="115"/>
      <c r="O30" s="115"/>
      <c r="P30" s="116"/>
    </row>
    <row r="31" spans="2:16" ht="13.5" thickBot="1" x14ac:dyDescent="0.25">
      <c r="B31" s="36"/>
      <c r="C31" s="37"/>
      <c r="D31" s="37"/>
      <c r="E31" s="37"/>
      <c r="F31" s="37"/>
      <c r="G31" s="37"/>
      <c r="H31" s="38"/>
      <c r="J31" s="112"/>
      <c r="K31" s="118"/>
      <c r="L31" s="119"/>
      <c r="M31" s="120"/>
      <c r="N31" s="120"/>
      <c r="O31" s="120"/>
      <c r="P31" s="116"/>
    </row>
    <row r="32" spans="2:16" ht="13.5" thickBot="1" x14ac:dyDescent="0.25">
      <c r="J32" s="121"/>
      <c r="K32" s="113" t="s">
        <v>58</v>
      </c>
      <c r="L32" s="174">
        <f>IF(E14=0,"",IF(L34=0,0,L34/E14))</f>
        <v>0.17894408827971992</v>
      </c>
      <c r="M32" s="115" t="s">
        <v>95</v>
      </c>
      <c r="N32" s="115"/>
      <c r="O32" s="115"/>
      <c r="P32" s="116"/>
    </row>
    <row r="33" spans="2:16" x14ac:dyDescent="0.2">
      <c r="B33" s="104"/>
      <c r="C33" s="105"/>
      <c r="D33" s="105"/>
      <c r="E33" s="105"/>
      <c r="F33" s="105"/>
      <c r="G33" s="105"/>
      <c r="H33" s="106"/>
      <c r="J33" s="121"/>
      <c r="K33" s="118"/>
      <c r="L33" s="119"/>
      <c r="M33" s="120"/>
      <c r="N33" s="120"/>
      <c r="O33" s="120"/>
      <c r="P33" s="116"/>
    </row>
    <row r="34" spans="2:16" ht="18" x14ac:dyDescent="0.25">
      <c r="B34" s="121"/>
      <c r="C34" s="236" t="s">
        <v>160</v>
      </c>
      <c r="D34" s="120"/>
      <c r="E34" s="249">
        <f>IF(L34=0,0,L34*E10)</f>
        <v>0.13218599801222911</v>
      </c>
      <c r="F34" s="249"/>
      <c r="G34" s="249"/>
      <c r="H34" s="250"/>
      <c r="J34" s="121"/>
      <c r="K34" s="113" t="s">
        <v>58</v>
      </c>
      <c r="L34" s="174">
        <f>IF(E8=0,0,IF(E10=0,0,IF(E20=0,0,(E6+E16*E18/E20+E24*(1-E22)+E28*(1-E22)*(1-E26))/E8/E10/(1-E22)/(1-E26)/(1-E30))))</f>
        <v>0.14852359327216752</v>
      </c>
      <c r="M34" s="115" t="s">
        <v>96</v>
      </c>
      <c r="N34" s="115"/>
      <c r="O34" s="115"/>
      <c r="P34" s="116"/>
    </row>
    <row r="35" spans="2:16" ht="13.5" thickBot="1" x14ac:dyDescent="0.25">
      <c r="B35" s="127"/>
      <c r="C35" s="128"/>
      <c r="D35" s="128"/>
      <c r="E35" s="128"/>
      <c r="F35" s="128"/>
      <c r="G35" s="128"/>
      <c r="H35" s="130"/>
      <c r="J35" s="127"/>
      <c r="K35" s="128"/>
      <c r="L35" s="128"/>
      <c r="M35" s="128"/>
      <c r="N35" s="128"/>
      <c r="O35" s="128"/>
      <c r="P35" s="130"/>
    </row>
    <row r="37" spans="2:16" x14ac:dyDescent="0.2">
      <c r="B37" s="244" t="s">
        <v>397</v>
      </c>
      <c r="C37" s="246" t="s">
        <v>398</v>
      </c>
      <c r="D37" s="246"/>
      <c r="E37" s="246"/>
    </row>
  </sheetData>
  <sheetProtection sheet="1" objects="1" scenarios="1"/>
  <mergeCells count="3">
    <mergeCell ref="E4:G4"/>
    <mergeCell ref="E34:F34"/>
    <mergeCell ref="G34:H34"/>
  </mergeCells>
  <phoneticPr fontId="2" type="noConversion"/>
  <dataValidations count="2">
    <dataValidation type="decimal" operator="greaterThanOrEqual" allowBlank="1" showInputMessage="1" showErrorMessage="1" errorTitle="Restricted Data Entry" error="Only numbers greater to or equal to zero can be entered in this cell." sqref="E6 E16 E18 E20 E22 E24 E26 E28 E30">
      <formula1>0</formula1>
    </dataValidation>
    <dataValidation type="decimal" operator="greaterThan" allowBlank="1" showInputMessage="1" showErrorMessage="1" errorTitle="Restricted Data Entry" error="Only numbers greater than zero can be entered in this cell" sqref="E8 E10 E12 E14">
      <formula1>0</formula1>
    </dataValidation>
  </dataValidations>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BB37"/>
  <sheetViews>
    <sheetView workbookViewId="0"/>
  </sheetViews>
  <sheetFormatPr defaultRowHeight="12.75" x14ac:dyDescent="0.2"/>
  <cols>
    <col min="1" max="1" width="4" style="6" customWidth="1"/>
    <col min="2" max="2" width="4.42578125" style="6" customWidth="1"/>
    <col min="3" max="3" width="36.85546875" style="6" customWidth="1"/>
    <col min="4" max="4" width="9.140625" style="6"/>
    <col min="5" max="5" width="10.7109375" style="6" customWidth="1"/>
    <col min="6" max="7" width="9.140625" style="6"/>
    <col min="8" max="9" width="4.85546875" style="6" customWidth="1"/>
    <col min="10" max="10" width="4.5703125" style="6" customWidth="1"/>
    <col min="11" max="11" width="3.7109375" style="6" customWidth="1"/>
    <col min="12" max="13" width="9.140625" style="6"/>
    <col min="14" max="14" width="13.7109375" style="6" bestFit="1" customWidth="1"/>
    <col min="15" max="15" width="13.7109375" style="6" customWidth="1"/>
    <col min="16" max="16" width="4.5703125" style="6" customWidth="1"/>
    <col min="17" max="17" width="19.28515625" style="6" bestFit="1" customWidth="1"/>
    <col min="18" max="16384" width="9.140625" style="6"/>
  </cols>
  <sheetData>
    <row r="1" spans="2:54" ht="18.75" thickBot="1" x14ac:dyDescent="0.3">
      <c r="B1" s="6">
        <v>7</v>
      </c>
      <c r="J1" s="95" t="s">
        <v>97</v>
      </c>
    </row>
    <row r="2" spans="2:54" ht="18.75" thickBot="1" x14ac:dyDescent="0.3">
      <c r="B2" s="95" t="s">
        <v>98</v>
      </c>
      <c r="J2" s="104"/>
      <c r="K2" s="105"/>
      <c r="L2" s="105"/>
      <c r="M2" s="105"/>
      <c r="N2" s="105"/>
      <c r="O2" s="105"/>
      <c r="P2" s="106"/>
    </row>
    <row r="3" spans="2:54" x14ac:dyDescent="0.2">
      <c r="B3" s="173"/>
      <c r="C3" s="97"/>
      <c r="D3" s="97"/>
      <c r="E3" s="97"/>
      <c r="F3" s="97"/>
      <c r="G3" s="97"/>
      <c r="H3" s="52"/>
      <c r="J3" s="112"/>
      <c r="K3" s="113" t="s">
        <v>58</v>
      </c>
      <c r="L3" s="174">
        <f>IF(E12=0,"",IF(L7="","",L7/E12))</f>
        <v>1.404494382022472</v>
      </c>
      <c r="M3" s="115" t="s">
        <v>94</v>
      </c>
      <c r="N3" s="115"/>
      <c r="O3" s="115"/>
      <c r="P3" s="116"/>
    </row>
    <row r="4" spans="2:54" x14ac:dyDescent="0.2">
      <c r="B4" s="175"/>
      <c r="C4" s="124" t="s">
        <v>99</v>
      </c>
      <c r="D4" s="108"/>
      <c r="E4" s="248" t="s">
        <v>163</v>
      </c>
      <c r="F4" s="248"/>
      <c r="G4" s="248"/>
      <c r="H4" s="176"/>
      <c r="I4" s="123"/>
      <c r="J4" s="112"/>
      <c r="K4" s="118"/>
      <c r="L4" s="119"/>
      <c r="M4" s="120"/>
      <c r="N4" s="120"/>
      <c r="O4" s="120"/>
      <c r="P4" s="116"/>
      <c r="AH4" s="6" t="s">
        <v>6</v>
      </c>
      <c r="AI4" s="6" t="s">
        <v>30</v>
      </c>
      <c r="AJ4" s="6" t="s">
        <v>100</v>
      </c>
      <c r="AK4" s="6" t="s">
        <v>33</v>
      </c>
      <c r="AL4" s="6" t="s">
        <v>101</v>
      </c>
      <c r="AM4" s="6" t="s">
        <v>102</v>
      </c>
      <c r="AQ4" s="6" t="s">
        <v>41</v>
      </c>
      <c r="AR4" s="6" t="s">
        <v>80</v>
      </c>
      <c r="AS4" s="6" t="s">
        <v>42</v>
      </c>
      <c r="AU4" s="6" t="s">
        <v>44</v>
      </c>
      <c r="AW4" s="6" t="s">
        <v>30</v>
      </c>
      <c r="AX4" s="6" t="s">
        <v>44</v>
      </c>
      <c r="AZ4" s="6" t="s">
        <v>30</v>
      </c>
      <c r="BA4" s="6" t="s">
        <v>44</v>
      </c>
      <c r="BB4" s="6" t="s">
        <v>103</v>
      </c>
    </row>
    <row r="5" spans="2:54" x14ac:dyDescent="0.2">
      <c r="B5" s="175"/>
      <c r="C5" s="124"/>
      <c r="D5" s="108"/>
      <c r="E5" s="108"/>
      <c r="F5" s="108"/>
      <c r="G5" s="108"/>
      <c r="H5" s="19"/>
      <c r="I5" s="123"/>
      <c r="J5" s="121"/>
      <c r="K5" s="113" t="s">
        <v>58</v>
      </c>
      <c r="L5" s="174">
        <f>IF(E14=0,"",IF(L7="","",L7/E14))</f>
        <v>0.23737933217281215</v>
      </c>
      <c r="M5" s="115" t="s">
        <v>95</v>
      </c>
      <c r="N5" s="115"/>
      <c r="O5" s="115"/>
      <c r="P5" s="116"/>
    </row>
    <row r="6" spans="2:54" x14ac:dyDescent="0.2">
      <c r="B6" s="175"/>
      <c r="C6" s="124" t="s">
        <v>104</v>
      </c>
      <c r="D6" s="155" t="s">
        <v>58</v>
      </c>
      <c r="E6" s="177">
        <v>300</v>
      </c>
      <c r="F6" s="108"/>
      <c r="G6" s="108"/>
      <c r="H6" s="19"/>
      <c r="J6" s="121"/>
      <c r="K6" s="118"/>
      <c r="L6" s="119"/>
      <c r="M6" s="120"/>
      <c r="N6" s="120"/>
      <c r="O6" s="120"/>
      <c r="P6" s="116"/>
      <c r="AG6" s="6">
        <v>1</v>
      </c>
      <c r="AH6" s="6" t="str">
        <f>E4</f>
        <v>Wheat Screening</v>
      </c>
      <c r="AI6" s="131">
        <f>E6</f>
        <v>300</v>
      </c>
      <c r="AJ6" s="131">
        <f>E8</f>
        <v>2000</v>
      </c>
      <c r="AK6" s="131">
        <f>E10</f>
        <v>0.89</v>
      </c>
      <c r="AL6" s="131">
        <f>E12</f>
        <v>0.12</v>
      </c>
      <c r="AM6" s="131">
        <f>E14</f>
        <v>0.71</v>
      </c>
      <c r="AQ6" s="131">
        <f>E18</f>
        <v>5</v>
      </c>
      <c r="AR6" s="131">
        <f>E16</f>
        <v>100</v>
      </c>
      <c r="AS6" s="131">
        <f>E20</f>
        <v>20</v>
      </c>
      <c r="AU6" s="131">
        <f>E22</f>
        <v>0.03</v>
      </c>
      <c r="AW6" s="131">
        <f>E24</f>
        <v>75</v>
      </c>
      <c r="AX6" s="131">
        <f>E26</f>
        <v>0.04</v>
      </c>
      <c r="AZ6" s="131">
        <f>E28</f>
        <v>7</v>
      </c>
      <c r="BA6" s="131">
        <f>E30</f>
        <v>0.08</v>
      </c>
    </row>
    <row r="7" spans="2:54" x14ac:dyDescent="0.2">
      <c r="B7" s="175"/>
      <c r="C7" s="124"/>
      <c r="D7" s="108"/>
      <c r="E7" s="178"/>
      <c r="F7" s="108"/>
      <c r="G7" s="108"/>
      <c r="H7" s="19"/>
      <c r="J7" s="121"/>
      <c r="K7" s="113" t="s">
        <v>58</v>
      </c>
      <c r="L7" s="174">
        <f>IF(E8=0,"",IF(E10=0,"",$E$6/$E$8/$E$10))</f>
        <v>0.16853932584269662</v>
      </c>
      <c r="M7" s="115" t="s">
        <v>96</v>
      </c>
      <c r="N7" s="115"/>
      <c r="O7" s="115"/>
      <c r="P7" s="116"/>
      <c r="AI7" s="131"/>
      <c r="AJ7" s="131"/>
      <c r="AK7" s="131"/>
      <c r="AL7" s="131"/>
      <c r="AM7" s="131"/>
      <c r="AQ7" s="131"/>
      <c r="AR7" s="131"/>
      <c r="AS7" s="131"/>
      <c r="AU7" s="131"/>
      <c r="AW7" s="131"/>
      <c r="AX7" s="131"/>
      <c r="AZ7" s="131"/>
      <c r="BA7" s="131"/>
    </row>
    <row r="8" spans="2:54" ht="13.5" thickBot="1" x14ac:dyDescent="0.25">
      <c r="B8" s="175"/>
      <c r="C8" s="124" t="s">
        <v>105</v>
      </c>
      <c r="D8" s="108"/>
      <c r="E8" s="179">
        <v>2000</v>
      </c>
      <c r="F8" s="108" t="s">
        <v>106</v>
      </c>
      <c r="G8" s="108"/>
      <c r="H8" s="19"/>
      <c r="J8" s="127"/>
      <c r="K8" s="128"/>
      <c r="L8" s="129"/>
      <c r="M8" s="128"/>
      <c r="N8" s="128"/>
      <c r="O8" s="128"/>
      <c r="P8" s="130"/>
    </row>
    <row r="9" spans="2:54" x14ac:dyDescent="0.2">
      <c r="B9" s="175"/>
      <c r="C9" s="124"/>
      <c r="D9" s="108"/>
      <c r="E9" s="178"/>
      <c r="F9" s="108"/>
      <c r="G9" s="108"/>
      <c r="H9" s="19"/>
      <c r="L9" s="132"/>
    </row>
    <row r="10" spans="2:54" ht="18.75" thickBot="1" x14ac:dyDescent="0.3">
      <c r="B10" s="175"/>
      <c r="C10" s="124" t="s">
        <v>107</v>
      </c>
      <c r="D10" s="108"/>
      <c r="E10" s="180">
        <v>0.89</v>
      </c>
      <c r="F10" s="243" t="s">
        <v>397</v>
      </c>
      <c r="G10" s="108"/>
      <c r="H10" s="19"/>
      <c r="J10" s="95" t="s">
        <v>108</v>
      </c>
      <c r="L10" s="132"/>
    </row>
    <row r="11" spans="2:54" x14ac:dyDescent="0.2">
      <c r="B11" s="175"/>
      <c r="C11" s="124"/>
      <c r="D11" s="108"/>
      <c r="E11" s="178"/>
      <c r="F11" s="108"/>
      <c r="G11" s="108"/>
      <c r="H11" s="19"/>
      <c r="J11" s="104"/>
      <c r="K11" s="105"/>
      <c r="L11" s="136"/>
      <c r="M11" s="105"/>
      <c r="N11" s="105"/>
      <c r="O11" s="105"/>
      <c r="P11" s="106"/>
    </row>
    <row r="12" spans="2:54" x14ac:dyDescent="0.2">
      <c r="B12" s="175"/>
      <c r="C12" s="124" t="s">
        <v>109</v>
      </c>
      <c r="D12" s="108"/>
      <c r="E12" s="180">
        <v>0.12</v>
      </c>
      <c r="F12" s="243" t="s">
        <v>397</v>
      </c>
      <c r="G12" s="108"/>
      <c r="H12" s="19"/>
      <c r="J12" s="112"/>
      <c r="K12" s="113" t="s">
        <v>58</v>
      </c>
      <c r="L12" s="174">
        <f>IF(E12=0,"",IF(L16="","",L16/E12))</f>
        <v>1.5685933819838604</v>
      </c>
      <c r="M12" s="115" t="s">
        <v>94</v>
      </c>
      <c r="N12" s="115"/>
      <c r="O12" s="115"/>
      <c r="P12" s="116"/>
    </row>
    <row r="13" spans="2:54" x14ac:dyDescent="0.2">
      <c r="B13" s="175"/>
      <c r="C13" s="124"/>
      <c r="D13" s="108"/>
      <c r="E13" s="178"/>
      <c r="F13" s="108"/>
      <c r="G13" s="108"/>
      <c r="H13" s="19"/>
      <c r="J13" s="112"/>
      <c r="K13" s="118"/>
      <c r="L13" s="119"/>
      <c r="M13" s="120"/>
      <c r="N13" s="120"/>
      <c r="O13" s="120"/>
      <c r="P13" s="116"/>
    </row>
    <row r="14" spans="2:54" x14ac:dyDescent="0.2">
      <c r="B14" s="175"/>
      <c r="C14" s="124" t="s">
        <v>110</v>
      </c>
      <c r="D14" s="108"/>
      <c r="E14" s="180">
        <v>0.71</v>
      </c>
      <c r="F14" s="243" t="s">
        <v>397</v>
      </c>
      <c r="G14" s="108"/>
      <c r="H14" s="19"/>
      <c r="J14" s="121"/>
      <c r="K14" s="113" t="s">
        <v>58</v>
      </c>
      <c r="L14" s="174">
        <f>IF(E14=0,"",IF(L16="","",L16/E14))</f>
        <v>0.2651143744198074</v>
      </c>
      <c r="M14" s="115" t="s">
        <v>95</v>
      </c>
      <c r="N14" s="115"/>
      <c r="O14" s="115"/>
      <c r="P14" s="116"/>
    </row>
    <row r="15" spans="2:54" x14ac:dyDescent="0.2">
      <c r="B15" s="175"/>
      <c r="C15" s="124"/>
      <c r="D15" s="108"/>
      <c r="E15" s="178"/>
      <c r="F15" s="108"/>
      <c r="G15" s="108"/>
      <c r="H15" s="19"/>
      <c r="J15" s="121"/>
      <c r="K15" s="118"/>
      <c r="L15" s="119"/>
      <c r="M15" s="120"/>
      <c r="N15" s="120"/>
      <c r="O15" s="120"/>
      <c r="P15" s="116"/>
    </row>
    <row r="16" spans="2:54" x14ac:dyDescent="0.2">
      <c r="B16" s="175"/>
      <c r="C16" s="124" t="s">
        <v>111</v>
      </c>
      <c r="D16" s="108"/>
      <c r="E16" s="179">
        <v>100</v>
      </c>
      <c r="F16" s="108" t="s">
        <v>80</v>
      </c>
      <c r="G16" s="108"/>
      <c r="H16" s="19"/>
      <c r="J16" s="121"/>
      <c r="K16" s="113" t="s">
        <v>58</v>
      </c>
      <c r="L16" s="174">
        <f>IF(E8=0,"",IF(E10=0,"",($E$6+$E$16*IF($E$20="",0,IF(E20=0,0,$E$18/E20)))/$E$8/$E$10/(1-$E$22)))</f>
        <v>0.18823120583806324</v>
      </c>
      <c r="M16" s="115" t="s">
        <v>96</v>
      </c>
      <c r="N16" s="115"/>
      <c r="O16" s="115"/>
      <c r="P16" s="116"/>
    </row>
    <row r="17" spans="2:16" ht="13.5" thickBot="1" x14ac:dyDescent="0.25">
      <c r="B17" s="175"/>
      <c r="C17" s="124"/>
      <c r="D17" s="108"/>
      <c r="E17" s="178"/>
      <c r="F17" s="108"/>
      <c r="G17" s="108"/>
      <c r="H17" s="19"/>
      <c r="J17" s="127"/>
      <c r="K17" s="128"/>
      <c r="L17" s="129"/>
      <c r="M17" s="128"/>
      <c r="N17" s="128"/>
      <c r="O17" s="128"/>
      <c r="P17" s="130"/>
    </row>
    <row r="18" spans="2:16" x14ac:dyDescent="0.2">
      <c r="B18" s="175"/>
      <c r="C18" s="124" t="s">
        <v>112</v>
      </c>
      <c r="D18" s="155" t="s">
        <v>58</v>
      </c>
      <c r="E18" s="177">
        <v>5</v>
      </c>
      <c r="F18" s="108" t="s">
        <v>82</v>
      </c>
      <c r="G18" s="108"/>
      <c r="H18" s="19"/>
      <c r="L18" s="132"/>
    </row>
    <row r="19" spans="2:16" ht="18.75" thickBot="1" x14ac:dyDescent="0.3">
      <c r="B19" s="175"/>
      <c r="C19" s="124"/>
      <c r="D19" s="108"/>
      <c r="E19" s="178"/>
      <c r="F19" s="108"/>
      <c r="G19" s="108"/>
      <c r="H19" s="19"/>
      <c r="J19" s="95" t="s">
        <v>113</v>
      </c>
      <c r="L19" s="132"/>
    </row>
    <row r="20" spans="2:16" x14ac:dyDescent="0.2">
      <c r="B20" s="175"/>
      <c r="C20" s="124" t="str">
        <f>CONCATENATE("How many ",$F$20,"s are hauled per load?")</f>
        <v>How many tons are hauled per load?</v>
      </c>
      <c r="D20" s="108"/>
      <c r="E20" s="179">
        <v>20</v>
      </c>
      <c r="F20" s="108" t="str">
        <f>IF(E8=2000,"ton",IF(E8=100,"hundredweight",IF(E8&gt;31,IF(E8&lt;71,"bushel","unit"),"unit")))</f>
        <v>ton</v>
      </c>
      <c r="G20" s="108"/>
      <c r="H20" s="19"/>
      <c r="J20" s="104"/>
      <c r="K20" s="105"/>
      <c r="L20" s="136"/>
      <c r="M20" s="105"/>
      <c r="N20" s="105"/>
      <c r="O20" s="105"/>
      <c r="P20" s="106"/>
    </row>
    <row r="21" spans="2:16" x14ac:dyDescent="0.2">
      <c r="B21" s="175"/>
      <c r="C21" s="124"/>
      <c r="D21" s="108"/>
      <c r="E21" s="178"/>
      <c r="F21" s="108"/>
      <c r="G21" s="108"/>
      <c r="H21" s="19"/>
      <c r="J21" s="112"/>
      <c r="K21" s="113" t="s">
        <v>58</v>
      </c>
      <c r="L21" s="174">
        <f>IF(E12=0,"",IF(L25="","",L25/E12))</f>
        <v>1.9997051848848733</v>
      </c>
      <c r="M21" s="115" t="s">
        <v>94</v>
      </c>
      <c r="N21" s="115"/>
      <c r="O21" s="115"/>
      <c r="P21" s="116"/>
    </row>
    <row r="22" spans="2:16" x14ac:dyDescent="0.2">
      <c r="B22" s="175"/>
      <c r="C22" s="124" t="s">
        <v>114</v>
      </c>
      <c r="D22" s="108"/>
      <c r="E22" s="180">
        <v>0.03</v>
      </c>
      <c r="F22" s="108"/>
      <c r="G22" s="108"/>
      <c r="H22" s="19"/>
      <c r="J22" s="112"/>
      <c r="K22" s="118"/>
      <c r="L22" s="119"/>
      <c r="M22" s="120"/>
      <c r="N22" s="120"/>
      <c r="O22" s="120"/>
      <c r="P22" s="116"/>
    </row>
    <row r="23" spans="2:16" x14ac:dyDescent="0.2">
      <c r="B23" s="175"/>
      <c r="C23" s="124"/>
      <c r="D23" s="108"/>
      <c r="E23" s="178"/>
      <c r="F23" s="108"/>
      <c r="G23" s="108"/>
      <c r="H23" s="19"/>
      <c r="J23" s="121"/>
      <c r="K23" s="113" t="s">
        <v>58</v>
      </c>
      <c r="L23" s="174">
        <f>IF(E14=0,"",IF(L25="","",L25/E14))</f>
        <v>0.33797834110730252</v>
      </c>
      <c r="M23" s="115" t="s">
        <v>95</v>
      </c>
      <c r="N23" s="115"/>
      <c r="O23" s="115"/>
      <c r="P23" s="116"/>
    </row>
    <row r="24" spans="2:16" x14ac:dyDescent="0.2">
      <c r="B24" s="175"/>
      <c r="C24" s="124" t="s">
        <v>115</v>
      </c>
      <c r="D24" s="155" t="s">
        <v>58</v>
      </c>
      <c r="E24" s="177">
        <v>75</v>
      </c>
      <c r="F24" s="108" t="str">
        <f>CONCATENATE("per ",$F$20)</f>
        <v>per ton</v>
      </c>
      <c r="G24" s="108"/>
      <c r="H24" s="19"/>
      <c r="J24" s="121"/>
      <c r="K24" s="118"/>
      <c r="L24" s="119"/>
      <c r="M24" s="120"/>
      <c r="N24" s="120"/>
      <c r="O24" s="120"/>
      <c r="P24" s="116"/>
    </row>
    <row r="25" spans="2:16" x14ac:dyDescent="0.2">
      <c r="B25" s="175"/>
      <c r="C25" s="124"/>
      <c r="D25" s="108"/>
      <c r="E25" s="178"/>
      <c r="F25" s="108"/>
      <c r="G25" s="108"/>
      <c r="H25" s="19"/>
      <c r="J25" s="121"/>
      <c r="K25" s="113" t="s">
        <v>58</v>
      </c>
      <c r="L25" s="174">
        <f>IF(E8=0,"",IF(E10=0,"",IF(E20=0,"",(E6+E16*E18/E20+E24*(1-E22))/E8/E10/(1-E22)/(1-E26))))</f>
        <v>0.23996462218618478</v>
      </c>
      <c r="M25" s="115" t="s">
        <v>96</v>
      </c>
      <c r="N25" s="115"/>
      <c r="O25" s="115"/>
      <c r="P25" s="116"/>
    </row>
    <row r="26" spans="2:16" ht="13.5" thickBot="1" x14ac:dyDescent="0.25">
      <c r="B26" s="175"/>
      <c r="C26" s="124" t="s">
        <v>116</v>
      </c>
      <c r="D26" s="108"/>
      <c r="E26" s="180">
        <v>0.04</v>
      </c>
      <c r="F26" s="108"/>
      <c r="G26" s="108"/>
      <c r="H26" s="19"/>
      <c r="J26" s="127"/>
      <c r="K26" s="128"/>
      <c r="L26" s="129"/>
      <c r="M26" s="128"/>
      <c r="N26" s="128"/>
      <c r="O26" s="128"/>
      <c r="P26" s="130"/>
    </row>
    <row r="27" spans="2:16" x14ac:dyDescent="0.2">
      <c r="B27" s="175"/>
      <c r="C27" s="124"/>
      <c r="D27" s="108"/>
      <c r="E27" s="178"/>
      <c r="F27" s="108"/>
      <c r="G27" s="108"/>
      <c r="H27" s="19"/>
      <c r="L27" s="132"/>
    </row>
    <row r="28" spans="2:16" ht="18.75" thickBot="1" x14ac:dyDescent="0.3">
      <c r="B28" s="175"/>
      <c r="C28" s="124" t="s">
        <v>117</v>
      </c>
      <c r="D28" s="155" t="s">
        <v>58</v>
      </c>
      <c r="E28" s="177">
        <v>7</v>
      </c>
      <c r="F28" s="108" t="str">
        <f>CONCATENATE("per ",$F$20)</f>
        <v>per ton</v>
      </c>
      <c r="G28" s="108"/>
      <c r="H28" s="19"/>
      <c r="J28" s="95" t="s">
        <v>118</v>
      </c>
      <c r="L28" s="132"/>
    </row>
    <row r="29" spans="2:16" x14ac:dyDescent="0.2">
      <c r="B29" s="175"/>
      <c r="C29" s="124"/>
      <c r="D29" s="108"/>
      <c r="E29" s="178"/>
      <c r="F29" s="108"/>
      <c r="G29" s="108"/>
      <c r="H29" s="19"/>
      <c r="J29" s="104"/>
      <c r="K29" s="105"/>
      <c r="L29" s="136"/>
      <c r="M29" s="105"/>
      <c r="N29" s="105"/>
      <c r="O29" s="105"/>
      <c r="P29" s="106"/>
    </row>
    <row r="30" spans="2:16" x14ac:dyDescent="0.2">
      <c r="B30" s="175"/>
      <c r="C30" s="124" t="s">
        <v>119</v>
      </c>
      <c r="D30" s="108"/>
      <c r="E30" s="180">
        <v>0.08</v>
      </c>
      <c r="F30" s="108"/>
      <c r="G30" s="108"/>
      <c r="H30" s="19"/>
      <c r="J30" s="112"/>
      <c r="K30" s="113" t="s">
        <v>58</v>
      </c>
      <c r="L30" s="174">
        <f>IF(E12=0,"",IF(L34=0,0,L34/E12))</f>
        <v>2.2092138265928236</v>
      </c>
      <c r="M30" s="115" t="s">
        <v>94</v>
      </c>
      <c r="N30" s="115"/>
      <c r="O30" s="115"/>
      <c r="P30" s="116"/>
    </row>
    <row r="31" spans="2:16" ht="13.5" thickBot="1" x14ac:dyDescent="0.25">
      <c r="B31" s="36"/>
      <c r="C31" s="37"/>
      <c r="D31" s="37"/>
      <c r="E31" s="37"/>
      <c r="F31" s="37"/>
      <c r="G31" s="37"/>
      <c r="H31" s="38"/>
      <c r="J31" s="112"/>
      <c r="K31" s="118"/>
      <c r="L31" s="119"/>
      <c r="M31" s="120"/>
      <c r="N31" s="120"/>
      <c r="O31" s="120"/>
      <c r="P31" s="116"/>
    </row>
    <row r="32" spans="2:16" ht="13.5" thickBot="1" x14ac:dyDescent="0.25">
      <c r="J32" s="121"/>
      <c r="K32" s="113" t="s">
        <v>58</v>
      </c>
      <c r="L32" s="174">
        <f>IF(E14=0,"",IF(L34=0,0,L34/E14))</f>
        <v>0.37338825238188567</v>
      </c>
      <c r="M32" s="115" t="s">
        <v>95</v>
      </c>
      <c r="N32" s="115"/>
      <c r="O32" s="115"/>
      <c r="P32" s="116"/>
    </row>
    <row r="33" spans="2:16" x14ac:dyDescent="0.2">
      <c r="B33" s="104"/>
      <c r="C33" s="105"/>
      <c r="D33" s="105"/>
      <c r="E33" s="105"/>
      <c r="F33" s="105"/>
      <c r="G33" s="105"/>
      <c r="H33" s="106"/>
      <c r="J33" s="121"/>
      <c r="K33" s="118"/>
      <c r="L33" s="119"/>
      <c r="M33" s="120"/>
      <c r="N33" s="120"/>
      <c r="O33" s="120"/>
      <c r="P33" s="116"/>
    </row>
    <row r="34" spans="2:16" ht="18" x14ac:dyDescent="0.25">
      <c r="B34" s="121"/>
      <c r="C34" s="236" t="s">
        <v>160</v>
      </c>
      <c r="D34" s="120"/>
      <c r="E34" s="249">
        <f>IF(L34=0,0,L34*E10)</f>
        <v>0.23594403668011354</v>
      </c>
      <c r="F34" s="249"/>
      <c r="G34" s="249"/>
      <c r="H34" s="250"/>
      <c r="J34" s="121"/>
      <c r="K34" s="113" t="s">
        <v>58</v>
      </c>
      <c r="L34" s="174">
        <f>IF(E8=0,0,IF(E10=0,0,IF(E20=0,0,(E6+E16*E18/E20+E24*(1-E22)+E28*(1-E22)*(1-E26))/E8/E10/(1-E22)/(1-E26)/(1-E30))))</f>
        <v>0.26510565919113882</v>
      </c>
      <c r="M34" s="115" t="s">
        <v>96</v>
      </c>
      <c r="N34" s="115"/>
      <c r="O34" s="115"/>
      <c r="P34" s="116"/>
    </row>
    <row r="35" spans="2:16" ht="13.5" thickBot="1" x14ac:dyDescent="0.25">
      <c r="B35" s="127"/>
      <c r="C35" s="128"/>
      <c r="D35" s="128"/>
      <c r="E35" s="128"/>
      <c r="F35" s="128"/>
      <c r="G35" s="128"/>
      <c r="H35" s="130"/>
      <c r="J35" s="127"/>
      <c r="K35" s="128"/>
      <c r="L35" s="128"/>
      <c r="M35" s="128"/>
      <c r="N35" s="128"/>
      <c r="O35" s="128"/>
      <c r="P35" s="130"/>
    </row>
    <row r="37" spans="2:16" x14ac:dyDescent="0.2">
      <c r="B37" s="244" t="s">
        <v>397</v>
      </c>
      <c r="C37" s="246" t="s">
        <v>398</v>
      </c>
      <c r="D37" s="246"/>
      <c r="E37" s="246"/>
    </row>
  </sheetData>
  <sheetProtection sheet="1" objects="1" scenarios="1"/>
  <mergeCells count="3">
    <mergeCell ref="E4:G4"/>
    <mergeCell ref="E34:F34"/>
    <mergeCell ref="G34:H34"/>
  </mergeCells>
  <phoneticPr fontId="2" type="noConversion"/>
  <dataValidations count="2">
    <dataValidation type="decimal" operator="greaterThanOrEqual" allowBlank="1" showInputMessage="1" showErrorMessage="1" errorTitle="Restricted Data Entry" error="Only numbers greater than or equal to zero can be entered in this cell." sqref="E6 E16 E18 E20 E22 E24 E26 E28 E30">
      <formula1>0</formula1>
    </dataValidation>
    <dataValidation type="decimal" operator="greaterThan" allowBlank="1" showInputMessage="1" showErrorMessage="1" errorTitle="Restricted Data Entry" error="Only numbers greater than zero can be entered into this cell." sqref="E8 E10 E12 E14">
      <formula1>0</formula1>
    </dataValidation>
  </dataValidations>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291B14C6C3214B99C6CF8C3F657377" ma:contentTypeVersion="12" ma:contentTypeDescription="Create a new document." ma:contentTypeScope="" ma:versionID="58ef8014b81e244ec2123139793888df">
  <xsd:schema xmlns:xsd="http://www.w3.org/2001/XMLSchema" xmlns:xs="http://www.w3.org/2001/XMLSchema" xmlns:p="http://schemas.microsoft.com/office/2006/metadata/properties" xmlns:ns2="1d61c15d-4bc1-40ee-98ee-52e8739f8b4b" targetNamespace="http://schemas.microsoft.com/office/2006/metadata/properties" ma:root="true" ma:fieldsID="d38dd461155b0d2a8c3844d462e2e4a5" ns2:_="">
    <xsd:import namespace="1d61c15d-4bc1-40ee-98ee-52e8739f8b4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61c15d-4bc1-40ee-98ee-52e8739f8b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9e8d040-3cf8-41ce-a03b-17301c6837ba"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d61c15d-4bc1-40ee-98ee-52e8739f8b4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37EF0D-A8A3-47BB-946C-0E23E645832E}"/>
</file>

<file path=customXml/itemProps2.xml><?xml version="1.0" encoding="utf-8"?>
<ds:datastoreItem xmlns:ds="http://schemas.openxmlformats.org/officeDocument/2006/customXml" ds:itemID="{C3456BD9-099E-451A-BEFB-0D25ACA55118}"/>
</file>

<file path=customXml/itemProps3.xml><?xml version="1.0" encoding="utf-8"?>
<ds:datastoreItem xmlns:ds="http://schemas.openxmlformats.org/officeDocument/2006/customXml" ds:itemID="{7C5E62C7-FEE3-435B-92CF-9061A664DD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vt:i4>
      </vt:variant>
    </vt:vector>
  </HeadingPairs>
  <TitlesOfParts>
    <vt:vector size="20" baseType="lpstr">
      <vt:lpstr>Title</vt:lpstr>
      <vt:lpstr>Instructions</vt:lpstr>
      <vt:lpstr>F1</vt:lpstr>
      <vt:lpstr>F2</vt:lpstr>
      <vt:lpstr>F3</vt:lpstr>
      <vt:lpstr>F4</vt:lpstr>
      <vt:lpstr>F5</vt:lpstr>
      <vt:lpstr>F6</vt:lpstr>
      <vt:lpstr>F7</vt:lpstr>
      <vt:lpstr>F8</vt:lpstr>
      <vt:lpstr>F9</vt:lpstr>
      <vt:lpstr>Cornstalks (10)</vt:lpstr>
      <vt:lpstr>Calculations</vt:lpstr>
      <vt:lpstr>Per Pound</vt:lpstr>
      <vt:lpstr>Whole Herd</vt:lpstr>
      <vt:lpstr>Feed List</vt:lpstr>
      <vt:lpstr>Calc</vt:lpstr>
      <vt:lpstr>Costs</vt:lpstr>
      <vt:lpstr>Calculations!Print_Area</vt:lpstr>
      <vt:lpstr>'Per Pound'!Print_Area</vt:lpstr>
    </vt:vector>
  </TitlesOfParts>
  <Company>University of Nebraska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Wilson</dc:creator>
  <cp:lastModifiedBy>Sunil Dhoubhadel</cp:lastModifiedBy>
  <cp:lastPrinted>2007-12-19T16:31:51Z</cp:lastPrinted>
  <dcterms:created xsi:type="dcterms:W3CDTF">2007-11-06T15:26:30Z</dcterms:created>
  <dcterms:modified xsi:type="dcterms:W3CDTF">2013-08-29T01:14:51Z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0x010100E9291B14C6C3214B99C6CF8C3F657377</vt:lpwstr>
  </property>
</Properties>
</file>